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AD66E57-5230-40F0-BD27-9231A994A40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120" sheetId="1" r:id="rId1"/>
    <sheet name="общий" sheetId="2" state="hidden" r:id="rId2"/>
    <sheet name="全部库存表" sheetId="3" state="hidden" r:id="rId3"/>
    <sheet name="конкретно" sheetId="4" r:id="rId4"/>
    <sheet name="JR 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G23" i="1"/>
  <c r="F23" i="1"/>
  <c r="G44" i="1"/>
  <c r="F44" i="1"/>
  <c r="G32" i="1"/>
  <c r="F32" i="1"/>
  <c r="F26" i="1"/>
  <c r="G29" i="1"/>
  <c r="F29" i="1"/>
  <c r="G48" i="1"/>
  <c r="F48" i="1"/>
  <c r="G51" i="1"/>
  <c r="F51" i="1"/>
  <c r="G12" i="1"/>
  <c r="F12" i="1"/>
  <c r="G46" i="1"/>
  <c r="F46" i="1"/>
  <c r="G39" i="1"/>
  <c r="F39" i="1"/>
  <c r="G35" i="1"/>
  <c r="F35" i="1"/>
  <c r="G18" i="1"/>
  <c r="F18" i="1"/>
  <c r="G33" i="1"/>
  <c r="F33" i="1"/>
  <c r="G21" i="1"/>
  <c r="F21" i="1"/>
  <c r="G15" i="1"/>
  <c r="F15" i="1"/>
  <c r="G20" i="1"/>
  <c r="F20" i="1"/>
  <c r="G14" i="1"/>
  <c r="F14" i="1"/>
  <c r="G11" i="1"/>
  <c r="F11" i="1"/>
  <c r="G34" i="1"/>
  <c r="F34" i="1"/>
  <c r="G41" i="1"/>
  <c r="F41" i="1"/>
  <c r="G36" i="1"/>
  <c r="F36" i="1"/>
  <c r="G22" i="1"/>
  <c r="F22" i="1"/>
  <c r="G47" i="1"/>
  <c r="F47" i="1"/>
  <c r="G55" i="1"/>
  <c r="F55" i="1"/>
  <c r="G31" i="1"/>
  <c r="F31" i="1"/>
  <c r="G10" i="1" l="1"/>
  <c r="F10" i="1"/>
  <c r="G16" i="1"/>
  <c r="F16" i="1"/>
  <c r="G17" i="1"/>
  <c r="F17" i="1"/>
  <c r="G40" i="1"/>
  <c r="F40" i="1"/>
  <c r="G28" i="1"/>
  <c r="F28" i="1"/>
  <c r="G42" i="1"/>
  <c r="F42" i="1"/>
  <c r="G26" i="1"/>
  <c r="G52" i="1"/>
  <c r="F52" i="1"/>
  <c r="G9" i="1"/>
  <c r="F9" i="1"/>
  <c r="G19" i="1"/>
  <c r="F19" i="1"/>
  <c r="G27" i="1"/>
  <c r="F27" i="1"/>
  <c r="G37" i="1"/>
  <c r="F37" i="1"/>
  <c r="G43" i="1"/>
  <c r="F43" i="1"/>
  <c r="G30" i="1" l="1"/>
  <c r="G56" i="1" s="1"/>
  <c r="F30" i="1"/>
  <c r="F56" i="1" s="1"/>
  <c r="J44" i="1" l="1"/>
  <c r="I44" i="1"/>
  <c r="J35" i="1"/>
  <c r="I35" i="1"/>
  <c r="J29" i="1"/>
  <c r="I29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6" i="1"/>
  <c r="I37" i="1"/>
  <c r="I38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10" i="1"/>
  <c r="I9" i="1"/>
  <c r="I8" i="1"/>
  <c r="I39" i="1" l="1"/>
  <c r="G49" i="5" l="1"/>
  <c r="F49" i="5"/>
  <c r="G48" i="5"/>
  <c r="F48" i="5"/>
  <c r="J47" i="5"/>
  <c r="G47" i="5"/>
  <c r="F47" i="5"/>
  <c r="G46" i="5"/>
  <c r="I46" i="5" s="1"/>
  <c r="F46" i="5"/>
  <c r="J45" i="5"/>
  <c r="I45" i="5"/>
  <c r="G44" i="5"/>
  <c r="I44" i="5" s="1"/>
  <c r="F44" i="5"/>
  <c r="J43" i="5"/>
  <c r="I43" i="5"/>
  <c r="J42" i="5"/>
  <c r="G42" i="5"/>
  <c r="F42" i="5"/>
  <c r="I42" i="5" s="1"/>
  <c r="G41" i="5"/>
  <c r="J41" i="5" s="1"/>
  <c r="F41" i="5"/>
  <c r="G40" i="5"/>
  <c r="J40" i="5" s="1"/>
  <c r="F40" i="5"/>
  <c r="I40" i="5" s="1"/>
  <c r="G39" i="5"/>
  <c r="J39" i="5" s="1"/>
  <c r="F39" i="5"/>
  <c r="I39" i="5" s="1"/>
  <c r="J38" i="5"/>
  <c r="G38" i="5"/>
  <c r="I38" i="5" s="1"/>
  <c r="F38" i="5"/>
  <c r="G37" i="5"/>
  <c r="I37" i="5" s="1"/>
  <c r="F37" i="5"/>
  <c r="G36" i="5"/>
  <c r="J36" i="5" s="1"/>
  <c r="F36" i="5"/>
  <c r="G35" i="5"/>
  <c r="F35" i="5"/>
  <c r="J34" i="5"/>
  <c r="I34" i="5"/>
  <c r="G33" i="5"/>
  <c r="F33" i="5"/>
  <c r="G32" i="5"/>
  <c r="J32" i="5" s="1"/>
  <c r="F32" i="5"/>
  <c r="G31" i="5"/>
  <c r="F31" i="5"/>
  <c r="G30" i="5"/>
  <c r="J30" i="5" s="1"/>
  <c r="F30" i="5"/>
  <c r="G29" i="5"/>
  <c r="F29" i="5"/>
  <c r="J28" i="5"/>
  <c r="I28" i="5"/>
  <c r="G27" i="5"/>
  <c r="J27" i="5" s="1"/>
  <c r="F27" i="5"/>
  <c r="G26" i="5"/>
  <c r="F26" i="5"/>
  <c r="J25" i="5"/>
  <c r="I25" i="5"/>
  <c r="G24" i="5"/>
  <c r="F24" i="5"/>
  <c r="J23" i="5"/>
  <c r="I23" i="5"/>
  <c r="J22" i="5"/>
  <c r="I22" i="5"/>
  <c r="G21" i="5"/>
  <c r="I21" i="5" s="1"/>
  <c r="F21" i="5"/>
  <c r="J20" i="5"/>
  <c r="I20" i="5"/>
  <c r="J19" i="5"/>
  <c r="G19" i="5"/>
  <c r="F19" i="5"/>
  <c r="I19" i="5" s="1"/>
  <c r="J18" i="5"/>
  <c r="I18" i="5"/>
  <c r="G17" i="5"/>
  <c r="F17" i="5"/>
  <c r="G16" i="5"/>
  <c r="F16" i="5"/>
  <c r="G15" i="5"/>
  <c r="J15" i="5" s="1"/>
  <c r="F15" i="5"/>
  <c r="J14" i="5"/>
  <c r="I14" i="5"/>
  <c r="G13" i="5"/>
  <c r="J13" i="5" s="1"/>
  <c r="F13" i="5"/>
  <c r="I13" i="5" s="1"/>
  <c r="J12" i="5"/>
  <c r="G12" i="5"/>
  <c r="F12" i="5"/>
  <c r="I12" i="5" s="1"/>
  <c r="J11" i="5"/>
  <c r="I11" i="5"/>
  <c r="J10" i="5"/>
  <c r="I10" i="5"/>
  <c r="G9" i="5"/>
  <c r="G51" i="5" s="1"/>
  <c r="F9" i="5"/>
  <c r="G232" i="4"/>
  <c r="G243" i="4" s="1"/>
  <c r="F232" i="4"/>
  <c r="G209" i="4"/>
  <c r="G186" i="4"/>
  <c r="G155" i="4"/>
  <c r="G139" i="4"/>
  <c r="G110" i="4"/>
  <c r="G84" i="4"/>
  <c r="G66" i="4"/>
  <c r="G56" i="4"/>
  <c r="G34" i="4"/>
  <c r="G10" i="4"/>
  <c r="F10" i="4"/>
  <c r="G55" i="3"/>
  <c r="F55" i="3"/>
  <c r="G31" i="3"/>
  <c r="F31" i="3"/>
  <c r="G46" i="2"/>
  <c r="F46" i="2"/>
  <c r="G20" i="2"/>
  <c r="F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M12" i="2"/>
  <c r="K12" i="2"/>
  <c r="J12" i="2"/>
  <c r="K11" i="2"/>
  <c r="J11" i="2"/>
  <c r="K10" i="2"/>
  <c r="J10" i="2"/>
  <c r="K9" i="2"/>
  <c r="J9" i="2"/>
  <c r="J55" i="1"/>
  <c r="J54" i="1"/>
  <c r="J53" i="1"/>
  <c r="J52" i="1"/>
  <c r="J51" i="1"/>
  <c r="AI50" i="1"/>
  <c r="AA50" i="1"/>
  <c r="J50" i="1"/>
  <c r="AI49" i="1"/>
  <c r="J49" i="1"/>
  <c r="AI48" i="1"/>
  <c r="J48" i="1"/>
  <c r="AG47" i="1"/>
  <c r="AI47" i="1" s="1"/>
  <c r="J47" i="1"/>
  <c r="J46" i="1"/>
  <c r="AI45" i="1"/>
  <c r="Y45" i="1"/>
  <c r="Z45" i="1" s="1"/>
  <c r="J45" i="1"/>
  <c r="J43" i="1"/>
  <c r="AG42" i="1"/>
  <c r="AI42" i="1" s="1"/>
  <c r="J42" i="1"/>
  <c r="J41" i="1"/>
  <c r="J40" i="1"/>
  <c r="AI39" i="1"/>
  <c r="J39" i="1"/>
  <c r="J38" i="1"/>
  <c r="J37" i="1"/>
  <c r="AI36" i="1"/>
  <c r="AA36" i="1"/>
  <c r="J36" i="1"/>
  <c r="AI34" i="1"/>
  <c r="J34" i="1"/>
  <c r="AI33" i="1"/>
  <c r="AA33" i="1"/>
  <c r="J33" i="1"/>
  <c r="AI32" i="1"/>
  <c r="J32" i="1"/>
  <c r="J31" i="1"/>
  <c r="J30" i="1"/>
  <c r="J28" i="1"/>
  <c r="J27" i="1"/>
  <c r="J26" i="1"/>
  <c r="AI25" i="1"/>
  <c r="J25" i="1"/>
  <c r="AI24" i="1"/>
  <c r="J24" i="1"/>
  <c r="AA23" i="1"/>
  <c r="J23" i="1"/>
  <c r="AA22" i="1"/>
  <c r="J22" i="1"/>
  <c r="AA21" i="1"/>
  <c r="J21" i="1"/>
  <c r="J20" i="1"/>
  <c r="J19" i="1"/>
  <c r="J18" i="1"/>
  <c r="J17" i="1"/>
  <c r="J16" i="1"/>
  <c r="AI15" i="1"/>
  <c r="J15" i="1"/>
  <c r="J14" i="1"/>
  <c r="J13" i="1"/>
  <c r="AM12" i="1"/>
  <c r="AI12" i="1"/>
  <c r="Y12" i="1"/>
  <c r="Z12" i="1" s="1"/>
  <c r="AF12" i="1" s="1"/>
  <c r="J12" i="1"/>
  <c r="AI11" i="1"/>
  <c r="AA11" i="1"/>
  <c r="J11" i="1"/>
  <c r="J10" i="1"/>
  <c r="J9" i="1"/>
  <c r="AI8" i="1"/>
  <c r="AA8" i="1"/>
  <c r="J8" i="1"/>
  <c r="J56" i="1" l="1"/>
  <c r="J9" i="5"/>
  <c r="I16" i="5"/>
  <c r="I49" i="5"/>
  <c r="I24" i="5"/>
  <c r="I26" i="5"/>
  <c r="I29" i="5"/>
  <c r="I31" i="5"/>
  <c r="I33" i="5"/>
  <c r="I35" i="5"/>
  <c r="I48" i="5"/>
  <c r="J49" i="5"/>
  <c r="I27" i="5"/>
  <c r="I36" i="5"/>
  <c r="J37" i="5"/>
  <c r="J46" i="5"/>
  <c r="K20" i="2"/>
  <c r="L20" i="2" s="1"/>
  <c r="G246" i="4"/>
  <c r="I9" i="5"/>
  <c r="I17" i="5"/>
  <c r="J26" i="5"/>
  <c r="J35" i="5"/>
  <c r="I41" i="5"/>
  <c r="I47" i="5"/>
  <c r="J48" i="5"/>
  <c r="AE12" i="1"/>
  <c r="AI52" i="1"/>
  <c r="I15" i="5"/>
  <c r="I30" i="5"/>
  <c r="I32" i="5"/>
  <c r="J16" i="5"/>
  <c r="J17" i="5"/>
  <c r="J21" i="5"/>
  <c r="J24" i="5"/>
  <c r="J29" i="5"/>
  <c r="J31" i="5"/>
  <c r="J33" i="5"/>
  <c r="J44" i="5"/>
  <c r="F51" i="5"/>
  <c r="J51" i="5" l="1"/>
</calcChain>
</file>

<file path=xl/sharedStrings.xml><?xml version="1.0" encoding="utf-8"?>
<sst xmlns="http://schemas.openxmlformats.org/spreadsheetml/2006/main" count="925" uniqueCount="111">
  <si>
    <t>Трубы нержавеющая бесшовная стальная  по госту 9941-81</t>
  </si>
  <si>
    <t>NO.</t>
  </si>
  <si>
    <t>материал</t>
  </si>
  <si>
    <t>OD</t>
  </si>
  <si>
    <t>WT</t>
  </si>
  <si>
    <t>M/шт</t>
  </si>
  <si>
    <t>шт</t>
  </si>
  <si>
    <t>кг</t>
  </si>
  <si>
    <t>примечания</t>
  </si>
  <si>
    <t>№ договора</t>
  </si>
  <si>
    <t>12X18H10T</t>
  </si>
  <si>
    <t>матовая</t>
  </si>
  <si>
    <t>20-053</t>
  </si>
  <si>
    <t>21-064-2</t>
  </si>
  <si>
    <t>21-084-5</t>
  </si>
  <si>
    <t>21-098-1</t>
  </si>
  <si>
    <t>Detail packing list JR22T034</t>
  </si>
  <si>
    <t>12Х18Н10Т</t>
  </si>
  <si>
    <t>22-034</t>
  </si>
  <si>
    <t>Detail packing list JR22T042-2</t>
  </si>
  <si>
    <t>22-042-2</t>
  </si>
  <si>
    <t>6m</t>
  </si>
  <si>
    <t>21-098-2</t>
  </si>
  <si>
    <t>немерная</t>
  </si>
  <si>
    <t>m/kg</t>
  </si>
  <si>
    <t>10cm kg</t>
  </si>
  <si>
    <t>минус кг</t>
  </si>
  <si>
    <t>1 шт гнутая</t>
  </si>
  <si>
    <t>5--6</t>
  </si>
  <si>
    <t>2 шт гнутая</t>
  </si>
  <si>
    <t>22-071</t>
  </si>
  <si>
    <t>22-071-2</t>
  </si>
  <si>
    <t>ZXK220804</t>
  </si>
  <si>
    <t>13,876,467.00 ₽</t>
  </si>
  <si>
    <t>JR22T084</t>
  </si>
  <si>
    <t>YK681</t>
  </si>
  <si>
    <t>JR23T011</t>
  </si>
  <si>
    <t>JR23T018</t>
  </si>
  <si>
    <t>JR23T033</t>
  </si>
  <si>
    <t xml:space="preserve">Трубы нержавеющая бесшовная стальная  по госту 9941-81 </t>
  </si>
  <si>
    <t xml:space="preserve">JR19T059 </t>
  </si>
  <si>
    <t>材质</t>
  </si>
  <si>
    <t>外径</t>
  </si>
  <si>
    <t>壁厚</t>
  </si>
  <si>
    <t>米数</t>
  </si>
  <si>
    <t>支数</t>
  </si>
  <si>
    <t>公斤</t>
  </si>
  <si>
    <t>备注</t>
  </si>
  <si>
    <t>喷砂表面</t>
  </si>
  <si>
    <t>订单</t>
  </si>
  <si>
    <t>итого</t>
  </si>
  <si>
    <t>Трубы нержавеющая бесшовная стальная  по госту 9941-81                JR19T061</t>
  </si>
  <si>
    <t>904L</t>
  </si>
  <si>
    <t xml:space="preserve">REST ORDER LIST JRSS TILL 13 JUNE 2023 </t>
  </si>
  <si>
    <t xml:space="preserve">Склад Лист </t>
  </si>
  <si>
    <t>н.диамер</t>
  </si>
  <si>
    <t>cтенки</t>
  </si>
  <si>
    <t xml:space="preserve">руб / тонна </t>
  </si>
  <si>
    <t>KG/PC</t>
  </si>
  <si>
    <t xml:space="preserve">Сумма </t>
  </si>
  <si>
    <t>н/м</t>
  </si>
  <si>
    <t>Склад Лист</t>
  </si>
  <si>
    <t>больше 1 тонна или все забрать</t>
  </si>
  <si>
    <t>мс</t>
  </si>
  <si>
    <t>руб / тонна</t>
  </si>
  <si>
    <t>Сумма</t>
  </si>
  <si>
    <t>0401mc </t>
  </si>
  <si>
    <t>0411jrss</t>
  </si>
  <si>
    <t>0413mc</t>
  </si>
  <si>
    <t>0425mc</t>
  </si>
  <si>
    <t>0413jrss</t>
  </si>
  <si>
    <t xml:space="preserve">0425jrss </t>
  </si>
  <si>
    <t>0511mc</t>
  </si>
  <si>
    <t xml:space="preserve">0511jrss </t>
  </si>
  <si>
    <t>0516mc</t>
  </si>
  <si>
    <t>0516jrss</t>
  </si>
  <si>
    <t>0628мс</t>
  </si>
  <si>
    <t>0809mc</t>
  </si>
  <si>
    <t>0831MC</t>
  </si>
  <si>
    <t>1005MC</t>
  </si>
  <si>
    <t>1121МС</t>
  </si>
  <si>
    <t>1123МС</t>
  </si>
  <si>
    <t>1221MC</t>
  </si>
  <si>
    <t>1201мс</t>
  </si>
  <si>
    <t>1022JR</t>
  </si>
  <si>
    <t>1124090/662000</t>
  </si>
  <si>
    <t>/</t>
  </si>
  <si>
    <t>903500/1020560</t>
  </si>
  <si>
    <t>649000r</t>
  </si>
  <si>
    <t>total</t>
  </si>
  <si>
    <t>+</t>
  </si>
  <si>
    <t>ООО «Цзярунь -Специальная сталь»</t>
  </si>
  <si>
    <t>195248, Санкт-Петербург, проспект Энергетиков 9А офис 302</t>
  </si>
  <si>
    <t>ИНН 7806222562; БИК 044030786</t>
  </si>
  <si>
    <t>www.jrsscn.com</t>
  </si>
  <si>
    <t>Склад Лист 10 -1 -2022</t>
  </si>
  <si>
    <t>MС</t>
  </si>
  <si>
    <t>Наружный Диамет</t>
  </si>
  <si>
    <t>толщина Стенки</t>
  </si>
  <si>
    <t xml:space="preserve">примечания </t>
  </si>
  <si>
    <t>руб / тонна в Акции</t>
  </si>
  <si>
    <t>21-064-1</t>
  </si>
  <si>
    <t>21-064-1/2</t>
  </si>
  <si>
    <t>21-064-1/2-084-5</t>
  </si>
  <si>
    <t>21-084-5/064-1-1</t>
  </si>
  <si>
    <t>5--7</t>
  </si>
  <si>
    <t xml:space="preserve">AISI 310S </t>
  </si>
  <si>
    <r>
      <rPr>
        <sz val="12"/>
        <color rgb="FF000000"/>
        <rFont val="Arial"/>
        <family val="2"/>
        <charset val="204"/>
      </rPr>
      <t>0717</t>
    </r>
    <r>
      <rPr>
        <sz val="12"/>
        <color rgb="FF000000"/>
        <rFont val="Arial"/>
        <family val="2"/>
        <charset val="204"/>
      </rPr>
      <t>价格</t>
    </r>
  </si>
  <si>
    <r>
      <rPr>
        <sz val="12"/>
        <color rgb="FF000000"/>
        <rFont val="Arial"/>
        <family val="2"/>
        <charset val="204"/>
      </rPr>
      <t xml:space="preserve">0814 </t>
    </r>
    <r>
      <rPr>
        <sz val="12"/>
        <color rgb="FF000000"/>
        <rFont val="Arial"/>
        <family val="2"/>
        <charset val="204"/>
      </rPr>
      <t>价格</t>
    </r>
  </si>
  <si>
    <t>ТЕЛ: 8 911 847 27 33 ПОЧТА: IVANL@JRSSCN.COM</t>
  </si>
  <si>
    <t>195248, Санкт-Петербург, улица Кременчугская д 19 стр 1 офис 57Н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</si>
</sst>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0_);[Red]\(0.00\)"/>
    <numFmt numFmtId="165" formatCode="#,##0.00\ [$₽-419]"/>
    <numFmt numFmtId="166" formatCode="0_ "/>
    <numFmt numFmtId="167" formatCode="[$-419]General"/>
    <numFmt numFmtId="168" formatCode="#,##0.00[$₽-419];\-#,##0.00[$₽-419]"/>
    <numFmt numFmtId="169" formatCode="0.00_ "/>
    <numFmt numFmtId="170" formatCode="&quot;RUB&quot;#,##0_);[Red]\(&quot;RUB&quot;#,##0\)"/>
    <numFmt numFmtId="171" formatCode="#,##0.00\ [$₽-419]_);[Red]\(#,##0.00\ [$₽-419]\)"/>
    <numFmt numFmtId="172" formatCode="#,##0_);[Red]\(#,##0\)"/>
    <numFmt numFmtId="173" formatCode="#,##0.00_);[Red]\(#,##0.00\)"/>
    <numFmt numFmtId="174" formatCode="0_);[Red]\(0\)"/>
    <numFmt numFmtId="175" formatCode="&quot;RUB&quot;#,##0.00_);[Red]\(&quot;RUB&quot;#,##0.00\)"/>
  </numFmts>
  <fonts count="23">
    <font>
      <sz val="10"/>
      <color theme="1"/>
      <name val="Calibri"/>
      <family val="2"/>
      <charset val="134"/>
      <scheme val="minor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name val="Calibri"/>
      <family val="2"/>
      <charset val="204"/>
    </font>
    <font>
      <sz val="12"/>
      <name val="Arial"/>
      <family val="2"/>
      <charset val="204"/>
    </font>
    <font>
      <sz val="12"/>
      <color theme="1"/>
      <name val="DengXian"/>
      <charset val="134"/>
    </font>
    <font>
      <sz val="12"/>
      <name val="Calibri"/>
      <family val="2"/>
      <charset val="204"/>
    </font>
    <font>
      <sz val="12"/>
      <name val="DengXian"/>
      <charset val="134"/>
    </font>
    <font>
      <b/>
      <sz val="12"/>
      <name val="Arial"/>
      <family val="2"/>
      <charset val="204"/>
    </font>
    <font>
      <sz val="13"/>
      <name val="Calibri"/>
      <family val="2"/>
      <charset val="204"/>
    </font>
    <font>
      <sz val="12"/>
      <name val="Arial Regular"/>
    </font>
    <font>
      <sz val="12"/>
      <color theme="1"/>
      <name val="Arial"/>
      <family val="2"/>
      <charset val="204"/>
    </font>
    <font>
      <sz val="12"/>
      <name val="宋体"/>
    </font>
    <font>
      <sz val="12"/>
      <color rgb="FFFF0000"/>
      <name val="Calibri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</font>
    <font>
      <sz val="12"/>
      <name val="Calibri"/>
      <family val="2"/>
      <charset val="204"/>
    </font>
    <font>
      <sz val="11"/>
      <name val="Arial"/>
      <family val="2"/>
      <charset val="204"/>
    </font>
    <font>
      <b/>
      <sz val="22"/>
      <name val="Calibri Light"/>
      <family val="2"/>
      <charset val="204"/>
    </font>
    <font>
      <sz val="28"/>
      <name val="Arial"/>
      <family val="2"/>
      <charset val="204"/>
    </font>
    <font>
      <b/>
      <sz val="14"/>
      <name val="Apple Braille"/>
    </font>
    <font>
      <sz val="12"/>
      <color rgb="FF000000"/>
      <name val="Arial"/>
      <family val="2"/>
      <charset val="204"/>
    </font>
    <font>
      <sz val="12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/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67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/>
    <xf numFmtId="168" fontId="1" fillId="0" borderId="2" xfId="0" applyNumberFormat="1" applyFon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  <xf numFmtId="170" fontId="1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68" fontId="6" fillId="0" borderId="2" xfId="0" applyNumberFormat="1" applyFont="1" applyBorder="1" applyAlignment="1">
      <alignment horizontal="center" vertical="center"/>
    </xf>
    <xf numFmtId="168" fontId="1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71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166" fontId="2" fillId="0" borderId="6" xfId="0" applyNumberFormat="1" applyFont="1" applyBorder="1" applyAlignment="1">
      <alignment horizontal="center"/>
    </xf>
    <xf numFmtId="169" fontId="2" fillId="0" borderId="2" xfId="0" applyNumberFormat="1" applyFont="1" applyBorder="1" applyAlignment="1">
      <alignment horizontal="center"/>
    </xf>
    <xf numFmtId="172" fontId="1" fillId="0" borderId="2" xfId="0" applyNumberFormat="1" applyFont="1" applyBorder="1" applyAlignment="1">
      <alignment horizontal="center"/>
    </xf>
    <xf numFmtId="171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71" fontId="2" fillId="0" borderId="0" xfId="0" applyNumberFormat="1" applyFont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 vertical="center"/>
    </xf>
    <xf numFmtId="171" fontId="2" fillId="0" borderId="2" xfId="0" applyNumberFormat="1" applyFont="1" applyBorder="1" applyAlignment="1">
      <alignment horizontal="center" vertical="center"/>
    </xf>
    <xf numFmtId="168" fontId="2" fillId="0" borderId="2" xfId="0" applyNumberFormat="1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71" fontId="1" fillId="0" borderId="2" xfId="0" applyNumberFormat="1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8" fontId="11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6" fontId="2" fillId="0" borderId="8" xfId="0" applyNumberFormat="1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171" fontId="1" fillId="0" borderId="0" xfId="0" applyNumberFormat="1" applyFont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6" fontId="14" fillId="0" borderId="8" xfId="0" applyNumberFormat="1" applyFont="1" applyBorder="1" applyAlignment="1">
      <alignment horizontal="center"/>
    </xf>
    <xf numFmtId="172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6" fillId="0" borderId="8" xfId="0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71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170" fontId="1" fillId="0" borderId="2" xfId="0" applyNumberFormat="1" applyFont="1" applyBorder="1" applyAlignment="1">
      <alignment horizontal="center" vertical="center"/>
    </xf>
    <xf numFmtId="170" fontId="1" fillId="0" borderId="0" xfId="0" applyNumberFormat="1" applyFont="1" applyAlignment="1">
      <alignment horizontal="center"/>
    </xf>
    <xf numFmtId="174" fontId="1" fillId="0" borderId="2" xfId="0" applyNumberFormat="1" applyFont="1" applyBorder="1" applyAlignment="1">
      <alignment horizontal="center"/>
    </xf>
    <xf numFmtId="174" fontId="1" fillId="0" borderId="2" xfId="0" applyNumberFormat="1" applyFont="1" applyBorder="1" applyAlignment="1">
      <alignment horizontal="center" vertical="center"/>
    </xf>
    <xf numFmtId="170" fontId="20" fillId="0" borderId="2" xfId="0" applyNumberFormat="1" applyFont="1" applyBorder="1" applyAlignment="1">
      <alignment horizontal="center"/>
    </xf>
    <xf numFmtId="175" fontId="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9" fontId="1" fillId="0" borderId="0" xfId="0" applyNumberFormat="1" applyFont="1" applyAlignment="1">
      <alignment horizontal="center"/>
    </xf>
    <xf numFmtId="0" fontId="4" fillId="0" borderId="0" xfId="0" applyFont="1" applyAlignment="1"/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73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3" fillId="0" borderId="12" xfId="0" applyFont="1" applyBorder="1"/>
    <xf numFmtId="0" fontId="1" fillId="0" borderId="10" xfId="0" applyFont="1" applyBorder="1" applyAlignment="1">
      <alignment horizontal="center"/>
    </xf>
    <xf numFmtId="0" fontId="3" fillId="0" borderId="10" xfId="0" applyFont="1" applyBorder="1"/>
    <xf numFmtId="0" fontId="2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7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67" fontId="8" fillId="0" borderId="1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/>
    <xf numFmtId="167" fontId="8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0</xdr:rowOff>
    </xdr:from>
    <xdr:to>
      <xdr:col>3</xdr:col>
      <xdr:colOff>449580</xdr:colOff>
      <xdr:row>4</xdr:row>
      <xdr:rowOff>160020</xdr:rowOff>
    </xdr:to>
    <xdr:pic>
      <xdr:nvPicPr>
        <xdr:cNvPr id="2" name="Рисунок 14" descr="C:\Users\pc\AppData\Roaming\Skype\golfstreaml\media_messaging\media_cache\^042F03AFF8C7C861E5A43B351A421D4D07728CA07EABEF9854^pimgpsh_fullsize_dist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1020" y="0"/>
          <a:ext cx="243840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838200</xdr:colOff>
      <xdr:row>0</xdr:row>
      <xdr:rowOff>0</xdr:rowOff>
    </xdr:from>
    <xdr:ext cx="1933575" cy="1285875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r:link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1120">
    <tabColor rgb="FFFFFFFF"/>
    <pageSetUpPr fitToPage="1"/>
  </sheetPr>
  <dimension ref="A1:AM201"/>
  <sheetViews>
    <sheetView tabSelected="1" topLeftCell="A22" workbookViewId="0">
      <selection activeCell="G26" sqref="G26"/>
    </sheetView>
  </sheetViews>
  <sheetFormatPr defaultRowHeight="15"/>
  <cols>
    <col min="1" max="1" width="7" style="89" customWidth="1"/>
    <col min="2" max="2" width="17.140625" style="89" customWidth="1"/>
    <col min="3" max="3" width="12.7109375" style="89" customWidth="1"/>
    <col min="4" max="4" width="9.140625" style="89" customWidth="1"/>
    <col min="5" max="5" width="15.140625" style="89" customWidth="1"/>
    <col min="6" max="6" width="12.28515625" style="89" customWidth="1"/>
    <col min="7" max="7" width="10.7109375" style="89" customWidth="1"/>
    <col min="8" max="8" width="20.140625" style="89" customWidth="1"/>
    <col min="9" max="9" width="13.5703125" style="89" customWidth="1"/>
    <col min="10" max="10" width="17.140625" style="89" customWidth="1"/>
    <col min="11" max="11" width="25.28515625" style="89" hidden="1" customWidth="1"/>
    <col min="12" max="12" width="19" style="89" hidden="1" customWidth="1"/>
    <col min="13" max="14" width="16.28515625" style="89" hidden="1" customWidth="1"/>
    <col min="15" max="15" width="25" style="89" hidden="1" customWidth="1"/>
    <col min="16" max="16" width="17.140625" style="89" hidden="1" customWidth="1"/>
    <col min="17" max="21" width="12.28515625" style="89" hidden="1" customWidth="1"/>
    <col min="22" max="26" width="12.5703125" style="89" hidden="1" customWidth="1"/>
    <col min="27" max="27" width="17.28515625" style="89" hidden="1" customWidth="1"/>
    <col min="28" max="29" width="12.28515625" style="89" hidden="1" customWidth="1"/>
    <col min="30" max="32" width="12.5703125" style="89" hidden="1" customWidth="1"/>
    <col min="33" max="33" width="49.5703125" style="89" hidden="1" customWidth="1"/>
    <col min="34" max="34" width="29.7109375" style="89" hidden="1" customWidth="1"/>
    <col min="35" max="35" width="25.7109375" style="89" hidden="1" customWidth="1"/>
    <col min="36" max="36" width="12.28515625" style="89" hidden="1" customWidth="1"/>
    <col min="37" max="37" width="16.5703125" style="89" hidden="1" customWidth="1"/>
    <col min="38" max="38" width="19.28515625" style="89" hidden="1" customWidth="1"/>
    <col min="39" max="39" width="12.28515625" style="89" hidden="1" customWidth="1"/>
  </cols>
  <sheetData>
    <row r="1" spans="1:39" ht="15" customHeight="1">
      <c r="A1" s="100"/>
      <c r="B1" s="100"/>
      <c r="C1" s="100"/>
      <c r="D1" s="100"/>
      <c r="E1" s="100"/>
      <c r="F1" s="101" t="s">
        <v>91</v>
      </c>
      <c r="G1" s="101"/>
      <c r="H1" s="101"/>
      <c r="I1" s="101"/>
      <c r="J1" s="10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39" ht="15" customHeight="1">
      <c r="A2" s="100"/>
      <c r="B2" s="100"/>
      <c r="C2" s="100"/>
      <c r="D2" s="100"/>
      <c r="E2" s="100"/>
      <c r="F2" s="102" t="s">
        <v>110</v>
      </c>
      <c r="G2" s="102"/>
      <c r="H2" s="102"/>
      <c r="I2" s="102"/>
      <c r="J2" s="102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ht="15" customHeight="1">
      <c r="A3" s="103"/>
      <c r="B3" s="103"/>
      <c r="C3" s="103"/>
      <c r="D3" s="103"/>
      <c r="E3" s="103"/>
      <c r="F3" s="104" t="s">
        <v>109</v>
      </c>
      <c r="G3" s="104"/>
      <c r="H3" s="104"/>
      <c r="I3" s="104"/>
      <c r="J3" s="104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</row>
    <row r="4" spans="1:39" ht="15" customHeight="1">
      <c r="A4" s="100"/>
      <c r="B4" s="100"/>
      <c r="C4" s="100"/>
      <c r="D4" s="100"/>
      <c r="E4" s="100"/>
      <c r="F4" s="102" t="s">
        <v>93</v>
      </c>
      <c r="G4" s="102"/>
      <c r="H4" s="102"/>
      <c r="I4" s="102"/>
      <c r="J4" s="102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ht="15" customHeight="1">
      <c r="A5" s="96" t="s">
        <v>61</v>
      </c>
      <c r="B5" s="97"/>
      <c r="C5" s="97"/>
      <c r="D5" s="97"/>
      <c r="E5" s="97"/>
      <c r="F5" s="97"/>
      <c r="G5" s="97"/>
      <c r="H5" s="97"/>
      <c r="I5" s="97"/>
      <c r="J5" s="97"/>
      <c r="K5" s="90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33"/>
      <c r="AH5" s="8"/>
      <c r="AI5" s="8"/>
      <c r="AJ5" s="8"/>
      <c r="AK5" s="8"/>
      <c r="AL5" s="8"/>
      <c r="AM5" s="8"/>
    </row>
    <row r="6" spans="1:39" ht="15" customHeight="1">
      <c r="A6" s="98" t="s">
        <v>0</v>
      </c>
      <c r="B6" s="99"/>
      <c r="C6" s="99"/>
      <c r="D6" s="99"/>
      <c r="E6" s="99"/>
      <c r="F6" s="99"/>
      <c r="G6" s="99"/>
      <c r="H6" s="91"/>
      <c r="I6" s="91"/>
      <c r="J6" s="9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34" t="s">
        <v>62</v>
      </c>
      <c r="AH6" s="8"/>
      <c r="AI6" s="8"/>
      <c r="AJ6" s="8"/>
      <c r="AK6" s="8" t="s">
        <v>63</v>
      </c>
      <c r="AL6" s="8" t="s">
        <v>107</v>
      </c>
      <c r="AM6" s="8" t="s">
        <v>108</v>
      </c>
    </row>
    <row r="7" spans="1:39" ht="15" customHeight="1">
      <c r="A7" s="4" t="s">
        <v>1</v>
      </c>
      <c r="B7" s="4" t="s">
        <v>2</v>
      </c>
      <c r="C7" s="4" t="s">
        <v>55</v>
      </c>
      <c r="D7" s="4" t="s">
        <v>56</v>
      </c>
      <c r="E7" s="4" t="s">
        <v>5</v>
      </c>
      <c r="F7" s="4" t="s">
        <v>6</v>
      </c>
      <c r="G7" s="4" t="s">
        <v>7</v>
      </c>
      <c r="H7" s="9" t="s">
        <v>64</v>
      </c>
      <c r="I7" s="9" t="s">
        <v>58</v>
      </c>
      <c r="J7" s="9" t="s">
        <v>65</v>
      </c>
      <c r="K7" s="9" t="s">
        <v>66</v>
      </c>
      <c r="L7" s="9" t="s">
        <v>67</v>
      </c>
      <c r="M7" s="9" t="s">
        <v>68</v>
      </c>
      <c r="N7" s="9" t="s">
        <v>69</v>
      </c>
      <c r="O7" s="9" t="s">
        <v>70</v>
      </c>
      <c r="P7" s="9" t="s">
        <v>71</v>
      </c>
      <c r="Q7" s="9" t="s">
        <v>72</v>
      </c>
      <c r="R7" s="9" t="s">
        <v>73</v>
      </c>
      <c r="S7" s="9" t="s">
        <v>74</v>
      </c>
      <c r="T7" s="9" t="s">
        <v>75</v>
      </c>
      <c r="U7" s="9" t="s">
        <v>76</v>
      </c>
      <c r="V7" s="9" t="s">
        <v>77</v>
      </c>
      <c r="W7" s="9" t="s">
        <v>78</v>
      </c>
      <c r="X7" s="9" t="s">
        <v>79</v>
      </c>
      <c r="Y7" s="9" t="s">
        <v>80</v>
      </c>
      <c r="Z7" s="9" t="s">
        <v>81</v>
      </c>
      <c r="AA7" s="9">
        <v>230427</v>
      </c>
      <c r="AB7" s="35">
        <v>230412</v>
      </c>
      <c r="AC7" s="9">
        <v>230222</v>
      </c>
      <c r="AD7" s="9">
        <v>230205</v>
      </c>
      <c r="AE7" s="9" t="s">
        <v>82</v>
      </c>
      <c r="AF7" s="9" t="s">
        <v>83</v>
      </c>
      <c r="AG7" s="9" t="s">
        <v>84</v>
      </c>
      <c r="AH7" s="36"/>
      <c r="AI7" s="8"/>
      <c r="AJ7" s="8">
        <v>230703</v>
      </c>
      <c r="AK7" s="8">
        <v>230713</v>
      </c>
      <c r="AL7" s="9" t="s">
        <v>57</v>
      </c>
      <c r="AM7" s="8"/>
    </row>
    <row r="8" spans="1:39" ht="15" customHeight="1">
      <c r="A8" s="7">
        <v>1</v>
      </c>
      <c r="B8" s="7" t="s">
        <v>10</v>
      </c>
      <c r="C8" s="7">
        <v>8</v>
      </c>
      <c r="D8" s="7">
        <v>1</v>
      </c>
      <c r="E8" s="7">
        <v>6</v>
      </c>
      <c r="F8" s="7">
        <v>112</v>
      </c>
      <c r="G8" s="7">
        <v>110</v>
      </c>
      <c r="H8" s="37">
        <v>873000</v>
      </c>
      <c r="I8" s="38">
        <f>G8/F8</f>
        <v>0.9821428571428571</v>
      </c>
      <c r="J8" s="39">
        <f t="shared" ref="J8:J38" si="0">H8*G8/1000</f>
        <v>96030</v>
      </c>
      <c r="K8" s="33">
        <v>1565300</v>
      </c>
      <c r="L8" s="33">
        <v>1297000</v>
      </c>
      <c r="M8" s="33">
        <v>1408970</v>
      </c>
      <c r="N8" s="33">
        <v>1338620</v>
      </c>
      <c r="O8" s="33">
        <v>1297000</v>
      </c>
      <c r="P8" s="33">
        <v>1297000</v>
      </c>
      <c r="Q8" s="33">
        <v>1338620</v>
      </c>
      <c r="R8" s="33">
        <v>1270000</v>
      </c>
      <c r="S8" s="33">
        <v>1258420</v>
      </c>
      <c r="T8" s="33">
        <v>1200000</v>
      </c>
      <c r="U8" s="33">
        <v>1268750</v>
      </c>
      <c r="V8" s="33">
        <v>1275266</v>
      </c>
      <c r="W8" s="33">
        <v>1275266</v>
      </c>
      <c r="X8" s="33">
        <v>1275266</v>
      </c>
      <c r="Y8" s="33">
        <v>1275266</v>
      </c>
      <c r="Z8" s="33">
        <v>1275266</v>
      </c>
      <c r="AA8" s="33">
        <f>AB8</f>
        <v>853026</v>
      </c>
      <c r="AB8" s="33">
        <v>853026</v>
      </c>
      <c r="AC8" s="33">
        <v>750075</v>
      </c>
      <c r="AD8" s="33">
        <v>735368</v>
      </c>
      <c r="AE8" s="33">
        <v>1306813</v>
      </c>
      <c r="AF8" s="33">
        <v>1275266</v>
      </c>
      <c r="AG8" s="40">
        <v>720000</v>
      </c>
      <c r="AH8" s="41"/>
      <c r="AI8" s="42">
        <f>AG8*G8/1000</f>
        <v>79200</v>
      </c>
      <c r="AJ8" s="41">
        <v>873885</v>
      </c>
      <c r="AK8" s="41">
        <v>915560</v>
      </c>
      <c r="AL8" s="43">
        <v>850000</v>
      </c>
      <c r="AM8" s="41">
        <v>992497</v>
      </c>
    </row>
    <row r="9" spans="1:39" ht="15" customHeight="1">
      <c r="A9" s="7">
        <v>2</v>
      </c>
      <c r="B9" s="19" t="s">
        <v>10</v>
      </c>
      <c r="C9" s="28">
        <v>10</v>
      </c>
      <c r="D9" s="28">
        <v>1</v>
      </c>
      <c r="E9" s="28">
        <v>6</v>
      </c>
      <c r="F9" s="28">
        <f>651-1-200-9</f>
        <v>441</v>
      </c>
      <c r="G9" s="20">
        <f>788-1-242-11</f>
        <v>534</v>
      </c>
      <c r="H9" s="20">
        <v>830000</v>
      </c>
      <c r="I9" s="26">
        <f>G9/F9</f>
        <v>1.2108843537414966</v>
      </c>
      <c r="J9" s="39">
        <f t="shared" si="0"/>
        <v>443220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>
        <v>783150</v>
      </c>
      <c r="AB9" s="8"/>
      <c r="AC9" s="8"/>
      <c r="AD9" s="8"/>
      <c r="AE9" s="8"/>
      <c r="AF9" s="8"/>
      <c r="AG9" s="8"/>
      <c r="AH9" s="8"/>
      <c r="AI9" s="8"/>
      <c r="AJ9" s="8">
        <v>803636</v>
      </c>
      <c r="AK9" s="8">
        <v>874280</v>
      </c>
      <c r="AL9" s="30">
        <v>840000</v>
      </c>
      <c r="AM9" s="8">
        <v>871083</v>
      </c>
    </row>
    <row r="10" spans="1:39" ht="15" customHeight="1">
      <c r="A10" s="7">
        <v>3</v>
      </c>
      <c r="B10" s="19" t="s">
        <v>10</v>
      </c>
      <c r="C10" s="28">
        <v>12</v>
      </c>
      <c r="D10" s="28">
        <v>1.5</v>
      </c>
      <c r="E10" s="28">
        <v>6</v>
      </c>
      <c r="F10" s="28">
        <f>424-8</f>
        <v>416</v>
      </c>
      <c r="G10" s="20">
        <f>968-19</f>
        <v>949</v>
      </c>
      <c r="H10" s="20">
        <v>788000</v>
      </c>
      <c r="I10" s="26">
        <f>G10/F10</f>
        <v>2.28125</v>
      </c>
      <c r="J10" s="39">
        <f t="shared" si="0"/>
        <v>747812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>
        <v>732837.5</v>
      </c>
      <c r="AB10" s="8"/>
      <c r="AC10" s="8"/>
      <c r="AD10" s="8"/>
      <c r="AE10" s="8"/>
      <c r="AF10" s="8"/>
      <c r="AG10" s="8"/>
      <c r="AH10" s="8"/>
      <c r="AI10" s="8"/>
      <c r="AJ10" s="8">
        <v>769340</v>
      </c>
      <c r="AK10" s="8">
        <v>836786</v>
      </c>
      <c r="AL10" s="30">
        <v>800000</v>
      </c>
      <c r="AM10" s="8">
        <v>805606</v>
      </c>
    </row>
    <row r="11" spans="1:39" ht="15" customHeight="1">
      <c r="A11" s="7">
        <v>4</v>
      </c>
      <c r="B11" s="7" t="s">
        <v>10</v>
      </c>
      <c r="C11" s="7">
        <v>16</v>
      </c>
      <c r="D11" s="7">
        <v>2</v>
      </c>
      <c r="E11" s="7">
        <v>6</v>
      </c>
      <c r="F11" s="7">
        <f>85-1-4-2</f>
        <v>78</v>
      </c>
      <c r="G11" s="7">
        <f>365-5-18-9</f>
        <v>333</v>
      </c>
      <c r="H11" s="44">
        <v>640000</v>
      </c>
      <c r="I11" s="26">
        <f t="shared" ref="I11:I55" si="1">G11/F11</f>
        <v>4.2692307692307692</v>
      </c>
      <c r="J11" s="39">
        <f t="shared" si="0"/>
        <v>213120</v>
      </c>
      <c r="K11" s="33" t="s">
        <v>85</v>
      </c>
      <c r="L11" s="33">
        <v>830000</v>
      </c>
      <c r="M11" s="33" t="s">
        <v>86</v>
      </c>
      <c r="N11" s="33">
        <v>965600</v>
      </c>
      <c r="O11" s="33">
        <v>830000</v>
      </c>
      <c r="P11" s="33">
        <v>830000</v>
      </c>
      <c r="Q11" s="33">
        <v>965600</v>
      </c>
      <c r="R11" s="33">
        <v>830000</v>
      </c>
      <c r="S11" s="33">
        <v>919300</v>
      </c>
      <c r="T11" s="33">
        <v>830000</v>
      </c>
      <c r="U11" s="33">
        <v>646700</v>
      </c>
      <c r="V11" s="33">
        <v>612000</v>
      </c>
      <c r="W11" s="33">
        <v>612000</v>
      </c>
      <c r="X11" s="33">
        <v>612000</v>
      </c>
      <c r="Y11" s="33">
        <v>614075</v>
      </c>
      <c r="Z11" s="33">
        <v>614075</v>
      </c>
      <c r="AA11" s="33">
        <f>AB11</f>
        <v>725207</v>
      </c>
      <c r="AB11" s="33">
        <v>725207</v>
      </c>
      <c r="AC11" s="33">
        <v>693956</v>
      </c>
      <c r="AD11" s="33">
        <v>614075</v>
      </c>
      <c r="AE11" s="33">
        <v>648179</v>
      </c>
      <c r="AF11" s="33">
        <v>614075</v>
      </c>
      <c r="AG11" s="45">
        <v>520000</v>
      </c>
      <c r="AH11" s="41"/>
      <c r="AI11" s="42">
        <f>AG11*G11/1000</f>
        <v>173160</v>
      </c>
      <c r="AJ11" s="41">
        <v>743467</v>
      </c>
      <c r="AK11" s="41">
        <v>671017</v>
      </c>
      <c r="AL11" s="46">
        <v>670000</v>
      </c>
      <c r="AM11" s="41">
        <v>663049</v>
      </c>
    </row>
    <row r="12" spans="1:39" ht="15" customHeight="1">
      <c r="A12" s="7">
        <v>5</v>
      </c>
      <c r="B12" s="7" t="s">
        <v>10</v>
      </c>
      <c r="C12" s="7">
        <v>18</v>
      </c>
      <c r="D12" s="7">
        <v>3.5</v>
      </c>
      <c r="E12" s="7">
        <v>6</v>
      </c>
      <c r="F12" s="7">
        <f>132-10-10-10-10-10-10</f>
        <v>72</v>
      </c>
      <c r="G12" s="7">
        <f>960-73-73-73-73-73-73</f>
        <v>522</v>
      </c>
      <c r="H12" s="44">
        <v>630000</v>
      </c>
      <c r="I12" s="26">
        <f t="shared" si="1"/>
        <v>7.25</v>
      </c>
      <c r="J12" s="39">
        <f t="shared" si="0"/>
        <v>328860</v>
      </c>
      <c r="K12" s="33" t="s">
        <v>86</v>
      </c>
      <c r="L12" s="33">
        <v>900000</v>
      </c>
      <c r="M12" s="33" t="s">
        <v>86</v>
      </c>
      <c r="N12" s="33" t="s">
        <v>86</v>
      </c>
      <c r="O12" s="33">
        <v>900000</v>
      </c>
      <c r="P12" s="33">
        <v>900000</v>
      </c>
      <c r="Q12" s="33" t="s">
        <v>86</v>
      </c>
      <c r="R12" s="33">
        <v>880000</v>
      </c>
      <c r="S12" s="33">
        <v>855500</v>
      </c>
      <c r="T12" s="33">
        <v>840000</v>
      </c>
      <c r="U12" s="33">
        <v>850000</v>
      </c>
      <c r="V12" s="33">
        <v>850000</v>
      </c>
      <c r="W12" s="33">
        <v>850000</v>
      </c>
      <c r="X12" s="33">
        <v>850000</v>
      </c>
      <c r="Y12" s="33">
        <f>X12</f>
        <v>850000</v>
      </c>
      <c r="Z12" s="33">
        <f>Y12</f>
        <v>850000</v>
      </c>
      <c r="AA12" s="33" t="s">
        <v>86</v>
      </c>
      <c r="AB12" s="33" t="s">
        <v>86</v>
      </c>
      <c r="AC12" s="33" t="s">
        <v>86</v>
      </c>
      <c r="AD12" s="33" t="s">
        <v>86</v>
      </c>
      <c r="AE12" s="33">
        <f>Y12</f>
        <v>850000</v>
      </c>
      <c r="AF12" s="33">
        <f>Z12</f>
        <v>850000</v>
      </c>
      <c r="AG12" s="45">
        <v>600000</v>
      </c>
      <c r="AH12" s="41"/>
      <c r="AI12" s="42">
        <f>AG12*G12/1000</f>
        <v>313200</v>
      </c>
      <c r="AJ12" s="41">
        <v>632000</v>
      </c>
      <c r="AK12" s="41">
        <v>690420</v>
      </c>
      <c r="AL12" s="46">
        <v>660000</v>
      </c>
      <c r="AM12" s="41">
        <f>AK12</f>
        <v>690420</v>
      </c>
    </row>
    <row r="13" spans="1:39" ht="15" customHeight="1">
      <c r="A13" s="7">
        <v>8</v>
      </c>
      <c r="B13" s="19" t="s">
        <v>10</v>
      </c>
      <c r="C13" s="28">
        <v>22</v>
      </c>
      <c r="D13" s="28">
        <v>3</v>
      </c>
      <c r="E13" s="28">
        <v>6</v>
      </c>
      <c r="F13" s="28">
        <v>242</v>
      </c>
      <c r="G13" s="20">
        <v>1996</v>
      </c>
      <c r="H13" s="47">
        <v>585000</v>
      </c>
      <c r="I13" s="26">
        <f t="shared" si="1"/>
        <v>8.2479338842975203</v>
      </c>
      <c r="J13" s="39">
        <f t="shared" si="0"/>
        <v>1167660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48">
        <v>590000</v>
      </c>
      <c r="AM13" s="8">
        <v>620398</v>
      </c>
    </row>
    <row r="14" spans="1:39" ht="15" customHeight="1">
      <c r="A14" s="7">
        <v>9</v>
      </c>
      <c r="B14" s="19" t="s">
        <v>10</v>
      </c>
      <c r="C14" s="28">
        <v>25</v>
      </c>
      <c r="D14" s="28">
        <v>2</v>
      </c>
      <c r="E14" s="28">
        <v>6</v>
      </c>
      <c r="F14" s="28">
        <f>447-1-234-6-20</f>
        <v>186</v>
      </c>
      <c r="G14" s="20">
        <f>3002-7-1573-41-134</f>
        <v>1247</v>
      </c>
      <c r="H14" s="47">
        <v>618000</v>
      </c>
      <c r="I14" s="26">
        <f t="shared" si="1"/>
        <v>6.704301075268817</v>
      </c>
      <c r="J14" s="39">
        <f t="shared" si="0"/>
        <v>770646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ht="15" customHeight="1">
      <c r="A15" s="7">
        <v>10</v>
      </c>
      <c r="B15" s="19" t="s">
        <v>10</v>
      </c>
      <c r="C15" s="19">
        <v>25</v>
      </c>
      <c r="D15" s="19">
        <v>3</v>
      </c>
      <c r="E15" s="19">
        <v>6</v>
      </c>
      <c r="F15" s="49">
        <f>305-1-2-3-17-1-2-131</f>
        <v>148</v>
      </c>
      <c r="G15" s="49">
        <f>3030-10-20-30-169-10-20-1300</f>
        <v>1471</v>
      </c>
      <c r="H15" s="20">
        <v>585000</v>
      </c>
      <c r="I15" s="26">
        <f t="shared" si="1"/>
        <v>9.9391891891891895</v>
      </c>
      <c r="J15" s="39">
        <f t="shared" si="0"/>
        <v>860535</v>
      </c>
      <c r="K15" s="9" t="s">
        <v>87</v>
      </c>
      <c r="L15" s="9">
        <v>875000</v>
      </c>
      <c r="M15" s="9">
        <v>813350</v>
      </c>
      <c r="N15" s="9">
        <v>772780</v>
      </c>
      <c r="O15" s="9">
        <v>810000</v>
      </c>
      <c r="P15" s="9">
        <v>766000</v>
      </c>
      <c r="Q15" s="9">
        <v>772780</v>
      </c>
      <c r="R15" s="9">
        <v>750000</v>
      </c>
      <c r="S15" s="9">
        <v>735000</v>
      </c>
      <c r="T15" s="9">
        <v>720000</v>
      </c>
      <c r="U15" s="9">
        <v>726530</v>
      </c>
      <c r="V15" s="9">
        <v>726530</v>
      </c>
      <c r="W15" s="9">
        <v>726530</v>
      </c>
      <c r="X15" s="9">
        <v>740950</v>
      </c>
      <c r="Y15" s="9">
        <v>740950</v>
      </c>
      <c r="Z15" s="9">
        <v>740950</v>
      </c>
      <c r="AA15" s="9">
        <v>502245</v>
      </c>
      <c r="AB15" s="9">
        <v>4972391</v>
      </c>
      <c r="AC15" s="9">
        <v>468470</v>
      </c>
      <c r="AD15" s="9">
        <v>459320</v>
      </c>
      <c r="AE15" s="9">
        <v>527952</v>
      </c>
      <c r="AF15" s="9">
        <v>722500</v>
      </c>
      <c r="AG15" s="32">
        <v>440000</v>
      </c>
      <c r="AH15" s="8"/>
      <c r="AI15" s="42">
        <f>AG15*G15/1000</f>
        <v>647240</v>
      </c>
      <c r="AJ15" s="8">
        <v>511032</v>
      </c>
      <c r="AK15" s="8">
        <v>554535</v>
      </c>
      <c r="AL15" s="30">
        <v>530000</v>
      </c>
      <c r="AM15" s="8">
        <v>579991</v>
      </c>
    </row>
    <row r="16" spans="1:39" ht="15" customHeight="1">
      <c r="A16" s="7">
        <v>11</v>
      </c>
      <c r="B16" s="4" t="s">
        <v>10</v>
      </c>
      <c r="C16" s="4">
        <v>27</v>
      </c>
      <c r="D16" s="4">
        <v>3</v>
      </c>
      <c r="E16" s="4">
        <v>6</v>
      </c>
      <c r="F16" s="4">
        <f>104-50-8-5</f>
        <v>41</v>
      </c>
      <c r="G16" s="4">
        <f>1107-532-86-53</f>
        <v>436</v>
      </c>
      <c r="H16" s="50">
        <v>585000</v>
      </c>
      <c r="I16" s="26">
        <f t="shared" si="1"/>
        <v>10.634146341463415</v>
      </c>
      <c r="J16" s="39">
        <f t="shared" si="0"/>
        <v>255060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ht="15" customHeight="1">
      <c r="A17" s="7">
        <v>12</v>
      </c>
      <c r="B17" s="19" t="s">
        <v>10</v>
      </c>
      <c r="C17" s="28">
        <v>28</v>
      </c>
      <c r="D17" s="28">
        <v>3</v>
      </c>
      <c r="E17" s="28">
        <v>6</v>
      </c>
      <c r="F17" s="28">
        <f>170-1</f>
        <v>169</v>
      </c>
      <c r="G17" s="20">
        <f>1994-12</f>
        <v>1982</v>
      </c>
      <c r="H17" s="47">
        <v>636000</v>
      </c>
      <c r="I17" s="26">
        <f t="shared" si="1"/>
        <v>11.727810650887575</v>
      </c>
      <c r="J17" s="39">
        <f t="shared" si="0"/>
        <v>1260552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5" customHeight="1">
      <c r="A18" s="7">
        <v>13</v>
      </c>
      <c r="B18" s="19" t="s">
        <v>10</v>
      </c>
      <c r="C18" s="28">
        <v>30</v>
      </c>
      <c r="D18" s="28">
        <v>3</v>
      </c>
      <c r="E18" s="28">
        <v>6</v>
      </c>
      <c r="F18" s="28">
        <f>243-1-21-15</f>
        <v>206</v>
      </c>
      <c r="G18" s="20">
        <f>2907-12-252-180</f>
        <v>2463</v>
      </c>
      <c r="H18" s="47">
        <v>533000</v>
      </c>
      <c r="I18" s="26">
        <f t="shared" si="1"/>
        <v>11.956310679611651</v>
      </c>
      <c r="J18" s="39">
        <f t="shared" si="0"/>
        <v>1312779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5" customHeight="1">
      <c r="A19" s="7">
        <v>14</v>
      </c>
      <c r="B19" s="19" t="s">
        <v>10</v>
      </c>
      <c r="C19" s="28">
        <v>32</v>
      </c>
      <c r="D19" s="28">
        <v>2</v>
      </c>
      <c r="E19" s="28">
        <v>6</v>
      </c>
      <c r="F19" s="28">
        <f>221-1-9</f>
        <v>211</v>
      </c>
      <c r="G19" s="20">
        <f>1973-9-81</f>
        <v>1883</v>
      </c>
      <c r="H19" s="47">
        <v>570000</v>
      </c>
      <c r="I19" s="26">
        <f t="shared" si="1"/>
        <v>8.9241706161137433</v>
      </c>
      <c r="J19" s="39">
        <f t="shared" si="0"/>
        <v>1073310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ht="15" customHeight="1">
      <c r="A20" s="7">
        <v>15</v>
      </c>
      <c r="B20" s="19" t="s">
        <v>10</v>
      </c>
      <c r="C20" s="28">
        <v>32</v>
      </c>
      <c r="D20" s="28">
        <v>2.5</v>
      </c>
      <c r="E20" s="28">
        <v>6</v>
      </c>
      <c r="F20" s="28">
        <f>179-3-4</f>
        <v>172</v>
      </c>
      <c r="G20" s="20">
        <f>1954-33-44</f>
        <v>1877</v>
      </c>
      <c r="H20" s="47">
        <v>550000</v>
      </c>
      <c r="I20" s="26">
        <f t="shared" si="1"/>
        <v>10.912790697674419</v>
      </c>
      <c r="J20" s="39">
        <f t="shared" si="0"/>
        <v>1032350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15" customHeight="1">
      <c r="A21" s="7">
        <v>17</v>
      </c>
      <c r="B21" s="19" t="s">
        <v>10</v>
      </c>
      <c r="C21" s="28">
        <v>34</v>
      </c>
      <c r="D21" s="28">
        <v>3</v>
      </c>
      <c r="E21" s="28">
        <v>6</v>
      </c>
      <c r="F21" s="28">
        <f>140-3-2-6-2-5</f>
        <v>122</v>
      </c>
      <c r="G21" s="31">
        <f>1914-41-28-82-28-69</f>
        <v>1666</v>
      </c>
      <c r="H21" s="52">
        <v>560000</v>
      </c>
      <c r="I21" s="26">
        <f t="shared" si="1"/>
        <v>13.655737704918034</v>
      </c>
      <c r="J21" s="39">
        <f t="shared" si="0"/>
        <v>932960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>
        <f>AB21</f>
        <v>609300</v>
      </c>
      <c r="AB21" s="8">
        <v>609300</v>
      </c>
      <c r="AC21" s="48">
        <v>575312</v>
      </c>
      <c r="AD21" s="8"/>
      <c r="AE21" s="8"/>
      <c r="AF21" s="8"/>
      <c r="AG21" s="8"/>
      <c r="AH21" s="8"/>
      <c r="AI21" s="8"/>
      <c r="AJ21" s="8">
        <v>616328</v>
      </c>
      <c r="AK21" s="8">
        <v>669585</v>
      </c>
      <c r="AL21" s="53">
        <v>640000</v>
      </c>
      <c r="AM21" s="8">
        <v>699680</v>
      </c>
    </row>
    <row r="22" spans="1:39" ht="15" customHeight="1">
      <c r="A22" s="7">
        <v>18</v>
      </c>
      <c r="B22" s="54" t="s">
        <v>10</v>
      </c>
      <c r="C22" s="54">
        <v>38</v>
      </c>
      <c r="D22" s="54">
        <v>3</v>
      </c>
      <c r="E22" s="54">
        <v>6</v>
      </c>
      <c r="F22" s="54">
        <f>146-6-3-11-14-2-1-10</f>
        <v>99</v>
      </c>
      <c r="G22" s="54">
        <f>2257-93-47-170-217-31-16-155</f>
        <v>1528</v>
      </c>
      <c r="H22" s="55">
        <v>498000</v>
      </c>
      <c r="I22" s="26">
        <f t="shared" si="1"/>
        <v>15.434343434343434</v>
      </c>
      <c r="J22" s="39">
        <f t="shared" si="0"/>
        <v>760944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>
        <f>AB22</f>
        <v>464370</v>
      </c>
      <c r="AB22" s="8">
        <v>464370</v>
      </c>
      <c r="AC22" s="48">
        <v>390720</v>
      </c>
      <c r="AD22" s="8"/>
      <c r="AE22" s="8"/>
      <c r="AF22" s="8"/>
      <c r="AG22" s="8"/>
      <c r="AH22" s="8"/>
      <c r="AI22" s="8"/>
      <c r="AJ22" s="8">
        <v>473620</v>
      </c>
      <c r="AK22" s="8">
        <v>517350</v>
      </c>
      <c r="AL22" s="30">
        <v>490000</v>
      </c>
      <c r="AM22" s="8">
        <v>538170</v>
      </c>
    </row>
    <row r="23" spans="1:39" ht="15" customHeight="1">
      <c r="A23" s="7">
        <v>19</v>
      </c>
      <c r="B23" s="19" t="s">
        <v>10</v>
      </c>
      <c r="C23" s="19">
        <v>38</v>
      </c>
      <c r="D23" s="19">
        <v>4</v>
      </c>
      <c r="E23" s="19">
        <v>6</v>
      </c>
      <c r="F23" s="19">
        <f>125-1</f>
        <v>124</v>
      </c>
      <c r="G23" s="19">
        <f>2571-21</f>
        <v>2550</v>
      </c>
      <c r="H23" s="56">
        <v>575000</v>
      </c>
      <c r="I23" s="26">
        <f t="shared" si="1"/>
        <v>20.56451612903226</v>
      </c>
      <c r="J23" s="39">
        <f t="shared" si="0"/>
        <v>1466250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>
        <f>AB23</f>
        <v>553630</v>
      </c>
      <c r="AB23" s="8">
        <v>553630</v>
      </c>
      <c r="AC23" s="48">
        <v>526135</v>
      </c>
      <c r="AD23" s="8"/>
      <c r="AE23" s="8"/>
      <c r="AF23" s="8"/>
      <c r="AG23" s="8"/>
      <c r="AH23" s="8"/>
      <c r="AI23" s="8"/>
      <c r="AJ23" s="8">
        <v>563609</v>
      </c>
      <c r="AK23" s="8">
        <v>611984</v>
      </c>
      <c r="AL23" s="30">
        <v>590000</v>
      </c>
      <c r="AM23" s="8">
        <v>639755</v>
      </c>
    </row>
    <row r="24" spans="1:39" ht="15" customHeight="1">
      <c r="A24" s="7">
        <v>20</v>
      </c>
      <c r="B24" s="19" t="s">
        <v>10</v>
      </c>
      <c r="C24" s="19">
        <v>38</v>
      </c>
      <c r="D24" s="19">
        <v>5</v>
      </c>
      <c r="E24" s="19">
        <v>6</v>
      </c>
      <c r="F24" s="19">
        <v>98</v>
      </c>
      <c r="G24" s="19">
        <v>2373</v>
      </c>
      <c r="H24" s="15">
        <v>465000</v>
      </c>
      <c r="I24" s="26">
        <f t="shared" si="1"/>
        <v>24.214285714285715</v>
      </c>
      <c r="J24" s="39">
        <f t="shared" si="0"/>
        <v>1103445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>
        <v>502000</v>
      </c>
      <c r="W24" s="9">
        <v>489000</v>
      </c>
      <c r="X24" s="9">
        <v>472000</v>
      </c>
      <c r="Y24" s="9">
        <v>479080</v>
      </c>
      <c r="Z24" s="9">
        <v>553175</v>
      </c>
      <c r="AA24" s="9">
        <v>506485</v>
      </c>
      <c r="AB24" s="9">
        <v>509510</v>
      </c>
      <c r="AC24" s="9">
        <v>481354</v>
      </c>
      <c r="AD24" s="9">
        <v>471914</v>
      </c>
      <c r="AE24" s="9">
        <v>471498</v>
      </c>
      <c r="AF24" s="9">
        <v>553175</v>
      </c>
      <c r="AG24" s="51">
        <v>460000</v>
      </c>
      <c r="AH24" s="8"/>
      <c r="AI24" s="42">
        <f>AG24*G24/1000</f>
        <v>1091580</v>
      </c>
      <c r="AJ24" s="8">
        <v>515610</v>
      </c>
      <c r="AK24" s="8">
        <v>533484</v>
      </c>
      <c r="AL24" s="25">
        <v>515000</v>
      </c>
      <c r="AM24" s="8">
        <v>531556</v>
      </c>
    </row>
    <row r="25" spans="1:39" ht="15" customHeight="1">
      <c r="A25" s="7">
        <v>21</v>
      </c>
      <c r="B25" s="19" t="s">
        <v>10</v>
      </c>
      <c r="C25" s="19">
        <v>38</v>
      </c>
      <c r="D25" s="19">
        <v>6</v>
      </c>
      <c r="E25" s="19">
        <v>6</v>
      </c>
      <c r="F25" s="19">
        <f>129-37-1-4-30-5</f>
        <v>52</v>
      </c>
      <c r="G25" s="19">
        <f>3647-1046-29-114-848-142</f>
        <v>1468</v>
      </c>
      <c r="H25" s="15">
        <v>570000</v>
      </c>
      <c r="I25" s="26">
        <f t="shared" si="1"/>
        <v>28.23076923076923</v>
      </c>
      <c r="J25" s="39">
        <f t="shared" si="0"/>
        <v>836760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4">
        <v>537950</v>
      </c>
      <c r="Z25" s="9"/>
      <c r="AA25" s="57">
        <v>567385</v>
      </c>
      <c r="AB25" s="9">
        <v>576926</v>
      </c>
      <c r="AC25" s="9">
        <v>542000</v>
      </c>
      <c r="AD25" s="9">
        <v>512000</v>
      </c>
      <c r="AE25" s="9">
        <v>527952</v>
      </c>
      <c r="AF25" s="9">
        <v>537950</v>
      </c>
      <c r="AG25" s="51">
        <v>500000</v>
      </c>
      <c r="AH25" s="8"/>
      <c r="AI25" s="42">
        <f>AG25*G25/1000</f>
        <v>734000</v>
      </c>
      <c r="AJ25" s="8">
        <v>521203</v>
      </c>
      <c r="AK25" s="8">
        <v>565649</v>
      </c>
      <c r="AL25" s="25">
        <v>550000</v>
      </c>
      <c r="AM25" s="8">
        <v>591552</v>
      </c>
    </row>
    <row r="26" spans="1:39" ht="15" customHeight="1">
      <c r="A26" s="7">
        <v>23</v>
      </c>
      <c r="B26" s="54" t="s">
        <v>17</v>
      </c>
      <c r="C26" s="54">
        <v>45</v>
      </c>
      <c r="D26" s="54">
        <v>3</v>
      </c>
      <c r="E26" s="54">
        <v>6</v>
      </c>
      <c r="F26" s="54">
        <f>226-1-1-5-10</f>
        <v>209</v>
      </c>
      <c r="G26" s="54">
        <f>4301-19-19-95-191</f>
        <v>3977</v>
      </c>
      <c r="H26" s="58">
        <v>490000</v>
      </c>
      <c r="I26" s="26">
        <f t="shared" si="1"/>
        <v>19.028708133971293</v>
      </c>
      <c r="J26" s="39">
        <f t="shared" si="0"/>
        <v>1948730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 ht="15" customHeight="1">
      <c r="A27" s="7">
        <v>24</v>
      </c>
      <c r="B27" s="19" t="s">
        <v>10</v>
      </c>
      <c r="C27" s="19">
        <v>45</v>
      </c>
      <c r="D27" s="19">
        <v>3.5</v>
      </c>
      <c r="E27" s="19">
        <v>6</v>
      </c>
      <c r="F27" s="19">
        <f>66-5</f>
        <v>61</v>
      </c>
      <c r="G27" s="19">
        <f>1409-107</f>
        <v>1302</v>
      </c>
      <c r="H27" s="59">
        <v>505000</v>
      </c>
      <c r="I27" s="26">
        <f t="shared" si="1"/>
        <v>21.344262295081968</v>
      </c>
      <c r="J27" s="39">
        <f t="shared" si="0"/>
        <v>657510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48">
        <v>630000</v>
      </c>
      <c r="AM27" s="8">
        <v>666134</v>
      </c>
    </row>
    <row r="28" spans="1:39" ht="15" customHeight="1">
      <c r="A28" s="7">
        <v>25</v>
      </c>
      <c r="B28" s="19" t="s">
        <v>10</v>
      </c>
      <c r="C28" s="28">
        <v>45</v>
      </c>
      <c r="D28" s="28">
        <v>4.5</v>
      </c>
      <c r="E28" s="28">
        <v>6</v>
      </c>
      <c r="F28" s="28">
        <f>68-1</f>
        <v>67</v>
      </c>
      <c r="G28" s="20">
        <f>1905-28</f>
        <v>1877</v>
      </c>
      <c r="H28" s="47">
        <v>460000</v>
      </c>
      <c r="I28" s="26">
        <f t="shared" si="1"/>
        <v>28.014925373134329</v>
      </c>
      <c r="J28" s="39">
        <f t="shared" si="0"/>
        <v>863420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 ht="15" customHeight="1">
      <c r="A29" s="7">
        <v>26</v>
      </c>
      <c r="B29" s="19" t="s">
        <v>10</v>
      </c>
      <c r="C29" s="28">
        <v>48</v>
      </c>
      <c r="D29" s="28">
        <v>3</v>
      </c>
      <c r="E29" s="28">
        <v>6</v>
      </c>
      <c r="F29" s="28">
        <f>17-1-3-2-1</f>
        <v>10</v>
      </c>
      <c r="G29" s="20">
        <f>335-20-59-40-20</f>
        <v>196</v>
      </c>
      <c r="H29" s="47">
        <v>510000</v>
      </c>
      <c r="I29" s="26">
        <f t="shared" ref="I29" si="2">G29/F29</f>
        <v>19.600000000000001</v>
      </c>
      <c r="J29" s="39">
        <f t="shared" ref="J29" si="3">H29*G29/1000</f>
        <v>99960</v>
      </c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</row>
    <row r="30" spans="1:39" ht="15" customHeight="1">
      <c r="A30" s="7">
        <v>27</v>
      </c>
      <c r="B30" s="19" t="s">
        <v>10</v>
      </c>
      <c r="C30" s="28">
        <v>51</v>
      </c>
      <c r="D30" s="28">
        <v>3</v>
      </c>
      <c r="E30" s="28">
        <v>6</v>
      </c>
      <c r="F30" s="28">
        <f>45-17-5</f>
        <v>23</v>
      </c>
      <c r="G30" s="20">
        <f>980-371-109</f>
        <v>500</v>
      </c>
      <c r="H30" s="47">
        <v>565000</v>
      </c>
      <c r="I30" s="26">
        <f t="shared" si="1"/>
        <v>21.739130434782609</v>
      </c>
      <c r="J30" s="39">
        <f t="shared" si="0"/>
        <v>282500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 ht="15" customHeight="1">
      <c r="A31" s="7">
        <v>28</v>
      </c>
      <c r="B31" s="19" t="s">
        <v>10</v>
      </c>
      <c r="C31" s="28">
        <v>57</v>
      </c>
      <c r="D31" s="28">
        <v>3</v>
      </c>
      <c r="E31" s="28">
        <v>6</v>
      </c>
      <c r="F31" s="28">
        <f>252-1-6-3-1-9-1-6-11-5-2-25</f>
        <v>182</v>
      </c>
      <c r="G31" s="20">
        <f>6008-24-143-72-24-215-24-143-262-120-48-596</f>
        <v>4337</v>
      </c>
      <c r="H31" s="47">
        <v>480000</v>
      </c>
      <c r="I31" s="26">
        <f t="shared" si="1"/>
        <v>23.829670329670328</v>
      </c>
      <c r="J31" s="39">
        <f t="shared" si="0"/>
        <v>2081760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48">
        <v>515000</v>
      </c>
      <c r="AM31" s="8">
        <v>544466</v>
      </c>
    </row>
    <row r="32" spans="1:39" ht="15" customHeight="1">
      <c r="A32" s="7">
        <v>29</v>
      </c>
      <c r="B32" s="19" t="s">
        <v>10</v>
      </c>
      <c r="C32" s="19">
        <v>57</v>
      </c>
      <c r="D32" s="19">
        <v>3.5</v>
      </c>
      <c r="E32" s="19">
        <v>6</v>
      </c>
      <c r="F32" s="49">
        <f>186-12-1-9-3-3-11-7-25-30-22-10-3-1-2</f>
        <v>47</v>
      </c>
      <c r="G32" s="49">
        <f>5176-334-28-251-84-84-307-195-696-835-612-278-84-28-56</f>
        <v>1304</v>
      </c>
      <c r="H32" s="20">
        <v>470000</v>
      </c>
      <c r="I32" s="26">
        <f t="shared" si="1"/>
        <v>27.74468085106383</v>
      </c>
      <c r="J32" s="39">
        <f t="shared" si="0"/>
        <v>612880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>
        <v>680000</v>
      </c>
      <c r="W32" s="33"/>
      <c r="X32" s="33">
        <v>680000</v>
      </c>
      <c r="Y32" s="33">
        <v>598850</v>
      </c>
      <c r="Z32" s="33">
        <v>583625</v>
      </c>
      <c r="AA32" s="33">
        <v>482000</v>
      </c>
      <c r="AB32" s="33">
        <v>494700</v>
      </c>
      <c r="AC32" s="33">
        <v>548150</v>
      </c>
      <c r="AD32" s="33">
        <v>537440</v>
      </c>
      <c r="AE32" s="33">
        <v>521840</v>
      </c>
      <c r="AF32" s="33">
        <v>583625</v>
      </c>
      <c r="AG32" s="40">
        <v>510000</v>
      </c>
      <c r="AH32" s="41"/>
      <c r="AI32" s="42">
        <f>AG32*G32/1000</f>
        <v>665040</v>
      </c>
      <c r="AJ32" s="41">
        <v>500500</v>
      </c>
      <c r="AK32" s="41">
        <v>543025</v>
      </c>
      <c r="AL32" s="43">
        <v>520000</v>
      </c>
      <c r="AM32" s="41">
        <v>568004</v>
      </c>
    </row>
    <row r="33" spans="1:39" ht="15" customHeight="1">
      <c r="A33" s="7">
        <v>30</v>
      </c>
      <c r="B33" s="19" t="s">
        <v>10</v>
      </c>
      <c r="C33" s="28">
        <v>57</v>
      </c>
      <c r="D33" s="28">
        <v>4</v>
      </c>
      <c r="E33" s="28">
        <v>6</v>
      </c>
      <c r="F33" s="28">
        <f>71-1-14-24-1-15</f>
        <v>16</v>
      </c>
      <c r="G33" s="20">
        <f>2243-32-442-759-32-474</f>
        <v>504</v>
      </c>
      <c r="H33" s="52">
        <v>470000</v>
      </c>
      <c r="I33" s="26">
        <f t="shared" si="1"/>
        <v>31.5</v>
      </c>
      <c r="J33" s="39">
        <f t="shared" si="0"/>
        <v>236880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>
        <f>AB33</f>
        <v>493747</v>
      </c>
      <c r="AB33" s="9">
        <v>493747</v>
      </c>
      <c r="AC33" s="9">
        <v>467489</v>
      </c>
      <c r="AD33" s="9">
        <v>458323</v>
      </c>
      <c r="AE33" s="9">
        <v>564543</v>
      </c>
      <c r="AF33" s="60">
        <v>548100</v>
      </c>
      <c r="AG33" s="51">
        <v>450000</v>
      </c>
      <c r="AH33" s="8"/>
      <c r="AI33" s="42">
        <f>AG33*G33/1000</f>
        <v>226800</v>
      </c>
      <c r="AJ33" s="8">
        <v>500760</v>
      </c>
      <c r="AK33" s="8">
        <v>543319</v>
      </c>
      <c r="AL33" s="25">
        <v>520000</v>
      </c>
      <c r="AM33" s="8">
        <v>568319</v>
      </c>
    </row>
    <row r="34" spans="1:39" ht="15" customHeight="1">
      <c r="A34" s="7">
        <v>31</v>
      </c>
      <c r="B34" s="54" t="s">
        <v>10</v>
      </c>
      <c r="C34" s="54">
        <v>60</v>
      </c>
      <c r="D34" s="54">
        <v>5</v>
      </c>
      <c r="E34" s="54">
        <v>6</v>
      </c>
      <c r="F34" s="54">
        <f>47-2-1-12-1-4</f>
        <v>27</v>
      </c>
      <c r="G34" s="54">
        <f>1986-86-43-507-43-169</f>
        <v>1138</v>
      </c>
      <c r="H34" s="55">
        <v>510000</v>
      </c>
      <c r="I34" s="26">
        <f t="shared" si="1"/>
        <v>42.148148148148145</v>
      </c>
      <c r="J34" s="39">
        <f t="shared" si="0"/>
        <v>580380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57">
        <v>512575</v>
      </c>
      <c r="AB34" s="9">
        <v>594232</v>
      </c>
      <c r="AC34" s="9">
        <v>558250</v>
      </c>
      <c r="AD34" s="9">
        <v>558100</v>
      </c>
      <c r="AE34" s="9">
        <v>543634</v>
      </c>
      <c r="AF34" s="60">
        <v>558250</v>
      </c>
      <c r="AG34" s="51">
        <v>500000</v>
      </c>
      <c r="AH34" s="8"/>
      <c r="AI34" s="42">
        <f>AG34*G34/1000</f>
        <v>569000</v>
      </c>
      <c r="AJ34" s="8">
        <v>492214</v>
      </c>
      <c r="AK34" s="8">
        <v>533971</v>
      </c>
      <c r="AL34" s="25">
        <v>500000</v>
      </c>
      <c r="AM34" s="8">
        <v>558585</v>
      </c>
    </row>
    <row r="35" spans="1:39" ht="15" customHeight="1">
      <c r="A35" s="7">
        <v>32</v>
      </c>
      <c r="B35" s="19" t="s">
        <v>10</v>
      </c>
      <c r="C35" s="19">
        <v>76</v>
      </c>
      <c r="D35" s="19">
        <v>3</v>
      </c>
      <c r="E35" s="19">
        <v>6</v>
      </c>
      <c r="F35" s="19">
        <f>27-3-12-2</f>
        <v>10</v>
      </c>
      <c r="G35" s="19">
        <f>881-98-392-66</f>
        <v>325</v>
      </c>
      <c r="H35" s="59">
        <v>500000</v>
      </c>
      <c r="I35" s="26">
        <f t="shared" ref="I35" si="4">G35/F35</f>
        <v>32.5</v>
      </c>
      <c r="J35" s="39">
        <f t="shared" ref="J35" si="5">H35*G35/1000</f>
        <v>162500</v>
      </c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57"/>
      <c r="AB35" s="92"/>
      <c r="AC35" s="92"/>
      <c r="AD35" s="92"/>
      <c r="AE35" s="92"/>
      <c r="AF35" s="60"/>
      <c r="AG35" s="51"/>
      <c r="AH35" s="93"/>
      <c r="AI35" s="42"/>
      <c r="AJ35" s="93"/>
      <c r="AK35" s="93"/>
      <c r="AL35" s="25"/>
      <c r="AM35" s="93"/>
    </row>
    <row r="36" spans="1:39" ht="15" customHeight="1">
      <c r="A36" s="7">
        <v>34</v>
      </c>
      <c r="B36" s="54" t="s">
        <v>10</v>
      </c>
      <c r="C36" s="54">
        <v>76</v>
      </c>
      <c r="D36" s="54">
        <v>4</v>
      </c>
      <c r="E36" s="54">
        <v>6</v>
      </c>
      <c r="F36" s="54">
        <f>76-2-3-2-1-1-7-1-30-10</f>
        <v>19</v>
      </c>
      <c r="G36" s="54">
        <f>3250-86-129-86-43-43-300-43-1281-428</f>
        <v>811</v>
      </c>
      <c r="H36" s="55">
        <v>480000</v>
      </c>
      <c r="I36" s="26">
        <f t="shared" si="1"/>
        <v>42.684210526315788</v>
      </c>
      <c r="J36" s="39">
        <f t="shared" si="0"/>
        <v>389280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>
        <f>AB36</f>
        <v>563325</v>
      </c>
      <c r="AB36" s="9">
        <v>563325</v>
      </c>
      <c r="AC36" s="9">
        <v>573475</v>
      </c>
      <c r="AD36" s="9">
        <v>573400</v>
      </c>
      <c r="AE36" s="9">
        <v>652100</v>
      </c>
      <c r="AF36" s="60">
        <v>652000</v>
      </c>
      <c r="AG36" s="51">
        <v>560000</v>
      </c>
      <c r="AH36" s="8"/>
      <c r="AI36" s="42">
        <f>AG36*G36/1000</f>
        <v>454160</v>
      </c>
      <c r="AJ36" s="8" t="s">
        <v>88</v>
      </c>
      <c r="AK36" s="8">
        <v>526510</v>
      </c>
      <c r="AL36" s="53">
        <v>550000</v>
      </c>
      <c r="AM36" s="8">
        <v>547700</v>
      </c>
    </row>
    <row r="37" spans="1:39" ht="15" customHeight="1">
      <c r="A37" s="7">
        <v>35</v>
      </c>
      <c r="B37" s="19" t="s">
        <v>10</v>
      </c>
      <c r="C37" s="19">
        <v>76</v>
      </c>
      <c r="D37" s="19">
        <v>4.5</v>
      </c>
      <c r="E37" s="19">
        <v>6</v>
      </c>
      <c r="F37" s="19">
        <f>63-10</f>
        <v>53</v>
      </c>
      <c r="G37" s="19">
        <f>2962-471</f>
        <v>2491</v>
      </c>
      <c r="H37" s="59">
        <v>460000</v>
      </c>
      <c r="I37" s="26">
        <f t="shared" si="1"/>
        <v>47</v>
      </c>
      <c r="J37" s="39">
        <f t="shared" si="0"/>
        <v>1145860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48">
        <v>525000</v>
      </c>
      <c r="AM37" s="8">
        <v>562127</v>
      </c>
    </row>
    <row r="38" spans="1:39" ht="15" customHeight="1">
      <c r="A38" s="7">
        <v>36</v>
      </c>
      <c r="B38" s="19" t="s">
        <v>10</v>
      </c>
      <c r="C38" s="19">
        <v>76</v>
      </c>
      <c r="D38" s="19">
        <v>6</v>
      </c>
      <c r="E38" s="19">
        <v>6</v>
      </c>
      <c r="F38" s="19">
        <v>37</v>
      </c>
      <c r="G38" s="19">
        <v>2314</v>
      </c>
      <c r="H38" s="59">
        <v>465000</v>
      </c>
      <c r="I38" s="26">
        <f t="shared" si="1"/>
        <v>62.54054054054054</v>
      </c>
      <c r="J38" s="39">
        <f t="shared" si="0"/>
        <v>1076010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48">
        <v>560000</v>
      </c>
      <c r="AM38" s="8">
        <v>597317</v>
      </c>
    </row>
    <row r="39" spans="1:39" ht="15" customHeight="1">
      <c r="A39" s="7">
        <v>37</v>
      </c>
      <c r="B39" s="19" t="s">
        <v>10</v>
      </c>
      <c r="C39" s="28">
        <v>89</v>
      </c>
      <c r="D39" s="28">
        <v>3</v>
      </c>
      <c r="E39" s="28">
        <v>6</v>
      </c>
      <c r="F39" s="28">
        <f>68-1-3-3-1-6-3-1</f>
        <v>50</v>
      </c>
      <c r="G39" s="31">
        <f>2644-39-117-117-39-233-117-39</f>
        <v>1943</v>
      </c>
      <c r="H39" s="52">
        <v>510000</v>
      </c>
      <c r="I39" s="26">
        <f t="shared" si="1"/>
        <v>38.86</v>
      </c>
      <c r="J39" s="39">
        <f t="shared" ref="J39:J55" si="6">H39*G39/1000</f>
        <v>990930</v>
      </c>
      <c r="K39" s="33">
        <v>836500</v>
      </c>
      <c r="L39" s="33">
        <v>784000</v>
      </c>
      <c r="M39" s="33">
        <v>753050</v>
      </c>
      <c r="N39" s="33">
        <v>759680</v>
      </c>
      <c r="O39" s="33">
        <v>750000</v>
      </c>
      <c r="P39" s="33">
        <v>750000</v>
      </c>
      <c r="Q39" s="33">
        <v>750460</v>
      </c>
      <c r="R39" s="33">
        <v>730000</v>
      </c>
      <c r="S39" s="33">
        <v>705500</v>
      </c>
      <c r="T39" s="33">
        <v>690000</v>
      </c>
      <c r="U39" s="33">
        <v>556100</v>
      </c>
      <c r="V39" s="33">
        <v>652000</v>
      </c>
      <c r="W39" s="33">
        <v>652000</v>
      </c>
      <c r="X39" s="33">
        <v>604140</v>
      </c>
      <c r="Y39" s="33">
        <v>561295</v>
      </c>
      <c r="Z39" s="33">
        <v>568400</v>
      </c>
      <c r="AA39" s="33">
        <v>506485</v>
      </c>
      <c r="AB39" s="33">
        <v>557200</v>
      </c>
      <c r="AC39" s="33">
        <v>566370</v>
      </c>
      <c r="AD39" s="33">
        <v>558100</v>
      </c>
      <c r="AE39" s="33">
        <v>543634</v>
      </c>
      <c r="AF39" s="33">
        <v>568400</v>
      </c>
      <c r="AG39" s="45">
        <v>500000</v>
      </c>
      <c r="AH39" s="41"/>
      <c r="AI39" s="42">
        <f>AG39*G39/1000</f>
        <v>971500</v>
      </c>
      <c r="AJ39" s="41">
        <v>497350</v>
      </c>
      <c r="AK39" s="41">
        <v>543025</v>
      </c>
      <c r="AL39" s="46">
        <v>520000</v>
      </c>
      <c r="AM39" s="41">
        <v>568004</v>
      </c>
    </row>
    <row r="40" spans="1:39" ht="15" customHeight="1">
      <c r="A40" s="7">
        <v>38</v>
      </c>
      <c r="B40" s="19" t="s">
        <v>10</v>
      </c>
      <c r="C40" s="28">
        <v>89</v>
      </c>
      <c r="D40" s="28">
        <v>3.5</v>
      </c>
      <c r="E40" s="28">
        <v>6</v>
      </c>
      <c r="F40" s="28">
        <f>65-1-1-10-14-6-9-9</f>
        <v>15</v>
      </c>
      <c r="G40" s="20">
        <f>2903-45-45-447-625-268-402-402</f>
        <v>669</v>
      </c>
      <c r="H40" s="47">
        <v>485000</v>
      </c>
      <c r="I40" s="26">
        <f t="shared" si="1"/>
        <v>44.6</v>
      </c>
      <c r="J40" s="39">
        <f t="shared" si="6"/>
        <v>324465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ht="15" customHeight="1">
      <c r="A41" s="7">
        <v>39</v>
      </c>
      <c r="B41" s="19" t="s">
        <v>10</v>
      </c>
      <c r="C41" s="19">
        <v>89</v>
      </c>
      <c r="D41" s="19">
        <v>4</v>
      </c>
      <c r="E41" s="19">
        <v>6</v>
      </c>
      <c r="F41" s="49">
        <f>109-2-1-2-1-2-1-1-30</f>
        <v>69</v>
      </c>
      <c r="G41" s="49">
        <f>5688-104-53-105-53-105-52-52-1565</f>
        <v>3599</v>
      </c>
      <c r="H41" s="20">
        <v>500000</v>
      </c>
      <c r="I41" s="26">
        <f t="shared" si="1"/>
        <v>52.159420289855071</v>
      </c>
      <c r="J41" s="39">
        <f t="shared" si="6"/>
        <v>1799500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>
        <v>522962.5</v>
      </c>
      <c r="AB41" s="8"/>
      <c r="AC41" s="8"/>
      <c r="AD41" s="8"/>
      <c r="AE41" s="8"/>
      <c r="AF41" s="8"/>
      <c r="AG41" s="8"/>
      <c r="AH41" s="8"/>
      <c r="AI41" s="8"/>
      <c r="AJ41" s="8">
        <v>500903</v>
      </c>
      <c r="AK41" s="8">
        <v>543472</v>
      </c>
      <c r="AL41" s="30">
        <v>550000</v>
      </c>
      <c r="AM41" s="8">
        <v>546517</v>
      </c>
    </row>
    <row r="42" spans="1:39" ht="15" customHeight="1">
      <c r="A42" s="7">
        <v>40</v>
      </c>
      <c r="B42" s="19" t="s">
        <v>10</v>
      </c>
      <c r="C42" s="19">
        <v>89</v>
      </c>
      <c r="D42" s="19">
        <v>4.5</v>
      </c>
      <c r="E42" s="19">
        <v>6</v>
      </c>
      <c r="F42" s="49">
        <f>88-7-1</f>
        <v>80</v>
      </c>
      <c r="G42" s="49">
        <f>4959-395-56</f>
        <v>4508</v>
      </c>
      <c r="H42" s="20">
        <v>495000</v>
      </c>
      <c r="I42" s="26">
        <f t="shared" si="1"/>
        <v>56.35</v>
      </c>
      <c r="J42" s="39">
        <f t="shared" si="6"/>
        <v>2231460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>
        <v>527800</v>
      </c>
      <c r="AB42" s="9">
        <v>625970</v>
      </c>
      <c r="AC42" s="9">
        <v>577000</v>
      </c>
      <c r="AD42" s="9">
        <v>578550</v>
      </c>
      <c r="AE42" s="9">
        <v>566634</v>
      </c>
      <c r="AF42" s="60">
        <v>492275</v>
      </c>
      <c r="AG42" s="51">
        <f>H42*0.95</f>
        <v>470250</v>
      </c>
      <c r="AH42" s="8"/>
      <c r="AI42" s="42">
        <f>AG42*G42/1000</f>
        <v>2119887</v>
      </c>
      <c r="AJ42" s="8">
        <v>539473</v>
      </c>
      <c r="AK42" s="8">
        <v>585614</v>
      </c>
      <c r="AL42" s="53">
        <v>550000</v>
      </c>
      <c r="AM42" s="8">
        <v>612319</v>
      </c>
    </row>
    <row r="43" spans="1:39" ht="15" customHeight="1">
      <c r="A43" s="7">
        <v>42</v>
      </c>
      <c r="B43" s="19" t="s">
        <v>10</v>
      </c>
      <c r="C43" s="28">
        <v>89</v>
      </c>
      <c r="D43" s="28">
        <v>6</v>
      </c>
      <c r="E43" s="28">
        <v>6</v>
      </c>
      <c r="F43" s="28">
        <f>36-8</f>
        <v>28</v>
      </c>
      <c r="G43" s="20">
        <f>2687-598</f>
        <v>2089</v>
      </c>
      <c r="H43" s="47">
        <v>500000</v>
      </c>
      <c r="I43" s="26">
        <f t="shared" si="1"/>
        <v>74.607142857142861</v>
      </c>
      <c r="J43" s="39">
        <f t="shared" si="6"/>
        <v>1044500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48">
        <v>520000</v>
      </c>
      <c r="AM43" s="8">
        <v>548790</v>
      </c>
    </row>
    <row r="44" spans="1:39" ht="15" customHeight="1">
      <c r="A44" s="7">
        <v>44</v>
      </c>
      <c r="B44" s="19" t="s">
        <v>10</v>
      </c>
      <c r="C44" s="28">
        <v>108</v>
      </c>
      <c r="D44" s="19">
        <v>3.5</v>
      </c>
      <c r="E44" s="28">
        <v>6</v>
      </c>
      <c r="F44" s="19">
        <f>27-3-4-1-6</f>
        <v>13</v>
      </c>
      <c r="G44" s="19">
        <f>1463-163-217-55-325</f>
        <v>703</v>
      </c>
      <c r="H44" s="62">
        <v>580000</v>
      </c>
      <c r="I44" s="26">
        <f t="shared" ref="I44" si="7">G44/F44</f>
        <v>54.07692307692308</v>
      </c>
      <c r="J44" s="39">
        <f t="shared" ref="J44" si="8">H44*G44/1000</f>
        <v>407740</v>
      </c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</row>
    <row r="45" spans="1:39" ht="15" customHeight="1">
      <c r="A45" s="7">
        <v>49</v>
      </c>
      <c r="B45" s="7" t="s">
        <v>10</v>
      </c>
      <c r="C45" s="54">
        <v>114</v>
      </c>
      <c r="D45" s="54">
        <v>6</v>
      </c>
      <c r="E45" s="54" t="s">
        <v>60</v>
      </c>
      <c r="F45" s="54">
        <v>1</v>
      </c>
      <c r="G45" s="54">
        <v>84</v>
      </c>
      <c r="H45" s="44">
        <v>470000</v>
      </c>
      <c r="I45" s="26">
        <f t="shared" si="1"/>
        <v>84</v>
      </c>
      <c r="J45" s="39">
        <f t="shared" si="6"/>
        <v>39480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>
        <v>632500</v>
      </c>
      <c r="V45" s="9">
        <v>549800</v>
      </c>
      <c r="W45" s="9">
        <v>549800</v>
      </c>
      <c r="X45" s="9">
        <v>522000</v>
      </c>
      <c r="Y45" s="9">
        <f>X45</f>
        <v>522000</v>
      </c>
      <c r="Z45" s="9">
        <f>Y45</f>
        <v>522000</v>
      </c>
      <c r="AA45" s="9">
        <v>506485</v>
      </c>
      <c r="AB45" s="9">
        <v>594200</v>
      </c>
      <c r="AC45" s="57">
        <v>474959</v>
      </c>
      <c r="AD45" s="9">
        <v>568400</v>
      </c>
      <c r="AE45" s="9">
        <v>471082</v>
      </c>
      <c r="AF45" s="9">
        <v>530845</v>
      </c>
      <c r="AG45" s="51">
        <v>430000</v>
      </c>
      <c r="AH45" s="8"/>
      <c r="AI45" s="42">
        <f>AG45*G45/1000</f>
        <v>36120</v>
      </c>
      <c r="AJ45" s="8">
        <v>517061</v>
      </c>
      <c r="AK45" s="8">
        <v>561122</v>
      </c>
      <c r="AL45" s="25">
        <v>540000</v>
      </c>
      <c r="AM45" s="8">
        <v>568004</v>
      </c>
    </row>
    <row r="46" spans="1:39" ht="15" customHeight="1">
      <c r="A46" s="7">
        <v>50</v>
      </c>
      <c r="B46" s="54" t="s">
        <v>10</v>
      </c>
      <c r="C46" s="54">
        <v>114</v>
      </c>
      <c r="D46" s="54">
        <v>6</v>
      </c>
      <c r="E46" s="54">
        <v>6</v>
      </c>
      <c r="F46" s="54">
        <f>31-0-4-2-15</f>
        <v>10</v>
      </c>
      <c r="G46" s="54">
        <f>3007-0-388-194-1455</f>
        <v>970</v>
      </c>
      <c r="H46" s="61">
        <v>510000</v>
      </c>
      <c r="I46" s="26">
        <f t="shared" si="1"/>
        <v>97</v>
      </c>
      <c r="J46" s="39">
        <f t="shared" si="6"/>
        <v>494700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</row>
    <row r="47" spans="1:39" ht="15" customHeight="1">
      <c r="A47" s="7">
        <v>52</v>
      </c>
      <c r="B47" s="19" t="s">
        <v>10</v>
      </c>
      <c r="C47" s="19">
        <v>133</v>
      </c>
      <c r="D47" s="19">
        <v>6</v>
      </c>
      <c r="E47" s="19">
        <v>6</v>
      </c>
      <c r="F47" s="19">
        <f>17-1</f>
        <v>16</v>
      </c>
      <c r="G47" s="19">
        <f>1955-115</f>
        <v>1840</v>
      </c>
      <c r="H47" s="56">
        <v>508000</v>
      </c>
      <c r="I47" s="26">
        <f t="shared" si="1"/>
        <v>115</v>
      </c>
      <c r="J47" s="39">
        <f t="shared" si="6"/>
        <v>934720</v>
      </c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 t="s">
        <v>86</v>
      </c>
      <c r="AB47" s="33" t="s">
        <v>86</v>
      </c>
      <c r="AC47" s="33" t="s">
        <v>86</v>
      </c>
      <c r="AD47" s="33" t="s">
        <v>86</v>
      </c>
      <c r="AE47" s="33"/>
      <c r="AF47" s="33">
        <v>691740</v>
      </c>
      <c r="AG47" s="40">
        <f>H47*0.95</f>
        <v>482600</v>
      </c>
      <c r="AH47" s="41"/>
      <c r="AI47" s="42">
        <f t="shared" ref="AI47:AI50" si="9">AG47*G47/1000</f>
        <v>887984</v>
      </c>
      <c r="AJ47" s="41" t="s">
        <v>86</v>
      </c>
      <c r="AK47" s="41" t="s">
        <v>86</v>
      </c>
      <c r="AL47" s="43">
        <v>550000</v>
      </c>
      <c r="AM47" s="41">
        <v>571992</v>
      </c>
    </row>
    <row r="48" spans="1:39" ht="15" customHeight="1">
      <c r="A48" s="7">
        <v>53</v>
      </c>
      <c r="B48" s="19" t="s">
        <v>10</v>
      </c>
      <c r="C48" s="19">
        <v>159</v>
      </c>
      <c r="D48" s="19">
        <v>4.5</v>
      </c>
      <c r="E48" s="19">
        <v>6</v>
      </c>
      <c r="F48" s="49">
        <f>56-1-1-1-2-11-4</f>
        <v>36</v>
      </c>
      <c r="G48" s="49">
        <f>5986-107-106-107-214-1176-428</f>
        <v>3848</v>
      </c>
      <c r="H48" s="20">
        <v>510000</v>
      </c>
      <c r="I48" s="26">
        <f t="shared" si="1"/>
        <v>106.88888888888889</v>
      </c>
      <c r="J48" s="39">
        <f t="shared" si="6"/>
        <v>1962480</v>
      </c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>
        <v>801850</v>
      </c>
      <c r="Z48" s="33">
        <v>602000</v>
      </c>
      <c r="AA48" s="33">
        <v>510545</v>
      </c>
      <c r="AB48" s="33">
        <v>746000</v>
      </c>
      <c r="AC48" s="33">
        <v>771400</v>
      </c>
      <c r="AD48" s="33">
        <v>901939</v>
      </c>
      <c r="AE48" s="33">
        <v>568500</v>
      </c>
      <c r="AF48" s="33">
        <v>602000</v>
      </c>
      <c r="AG48" s="40">
        <v>600000</v>
      </c>
      <c r="AH48" s="41"/>
      <c r="AI48" s="42">
        <f t="shared" si="9"/>
        <v>2308800</v>
      </c>
      <c r="AJ48" s="41">
        <v>521527</v>
      </c>
      <c r="AK48" s="41">
        <v>546790</v>
      </c>
      <c r="AL48" s="43">
        <v>600000</v>
      </c>
      <c r="AM48" s="41">
        <v>571992</v>
      </c>
    </row>
    <row r="49" spans="1:39" ht="15" customHeight="1">
      <c r="A49" s="7">
        <v>55</v>
      </c>
      <c r="B49" s="19" t="s">
        <v>10</v>
      </c>
      <c r="C49" s="19">
        <v>159</v>
      </c>
      <c r="D49" s="19">
        <v>6</v>
      </c>
      <c r="E49" s="19">
        <v>6</v>
      </c>
      <c r="F49" s="19">
        <v>11</v>
      </c>
      <c r="G49" s="19">
        <v>1573</v>
      </c>
      <c r="H49" s="56">
        <v>495000</v>
      </c>
      <c r="I49" s="26">
        <f t="shared" si="1"/>
        <v>143</v>
      </c>
      <c r="J49" s="39">
        <f t="shared" si="6"/>
        <v>778635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>
        <v>712400</v>
      </c>
      <c r="W49" s="33">
        <v>712400</v>
      </c>
      <c r="X49" s="33">
        <v>812000</v>
      </c>
      <c r="Y49" s="33">
        <v>801850</v>
      </c>
      <c r="Z49" s="33">
        <v>842450</v>
      </c>
      <c r="AA49" s="33">
        <v>524755</v>
      </c>
      <c r="AB49" s="33">
        <v>532124</v>
      </c>
      <c r="AC49" s="33">
        <v>919976</v>
      </c>
      <c r="AD49" s="33">
        <v>901939</v>
      </c>
      <c r="AE49" s="33">
        <v>867724</v>
      </c>
      <c r="AF49" s="33">
        <v>842450</v>
      </c>
      <c r="AG49" s="40">
        <v>780000</v>
      </c>
      <c r="AH49" s="41"/>
      <c r="AI49" s="42">
        <f t="shared" si="9"/>
        <v>1226940</v>
      </c>
      <c r="AJ49" s="41">
        <v>546476</v>
      </c>
      <c r="AK49" s="41">
        <v>593268</v>
      </c>
      <c r="AL49" s="43">
        <v>550000</v>
      </c>
      <c r="AM49" s="41">
        <v>564837</v>
      </c>
    </row>
    <row r="50" spans="1:39" ht="15" customHeight="1">
      <c r="A50" s="7">
        <v>58</v>
      </c>
      <c r="B50" s="7" t="s">
        <v>10</v>
      </c>
      <c r="C50" s="54">
        <v>219</v>
      </c>
      <c r="D50" s="54">
        <v>6</v>
      </c>
      <c r="E50" s="54" t="s">
        <v>28</v>
      </c>
      <c r="F50" s="54">
        <v>1</v>
      </c>
      <c r="G50" s="54">
        <v>202</v>
      </c>
      <c r="H50" s="55">
        <v>500000</v>
      </c>
      <c r="I50" s="26">
        <f t="shared" si="1"/>
        <v>202</v>
      </c>
      <c r="J50" s="39">
        <f t="shared" si="6"/>
        <v>101000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>
        <v>510545</v>
      </c>
      <c r="Z50" s="9">
        <v>510545</v>
      </c>
      <c r="AA50" s="9">
        <f>AB50</f>
        <v>477500</v>
      </c>
      <c r="AB50" s="9">
        <v>477500</v>
      </c>
      <c r="AC50" s="9">
        <v>504810</v>
      </c>
      <c r="AD50" s="9">
        <v>494900</v>
      </c>
      <c r="AE50" s="9">
        <v>484571</v>
      </c>
      <c r="AF50" s="9">
        <v>510545</v>
      </c>
      <c r="AG50" s="51">
        <v>470000</v>
      </c>
      <c r="AH50" s="8"/>
      <c r="AI50" s="42">
        <f t="shared" si="9"/>
        <v>94940</v>
      </c>
      <c r="AJ50" s="8">
        <v>485790</v>
      </c>
      <c r="AK50" s="8">
        <v>534590</v>
      </c>
      <c r="AL50" s="25">
        <v>565000</v>
      </c>
      <c r="AM50" s="8">
        <v>559224</v>
      </c>
    </row>
    <row r="51" spans="1:39" ht="15" customHeight="1">
      <c r="A51" s="7">
        <v>59</v>
      </c>
      <c r="B51" s="54" t="s">
        <v>17</v>
      </c>
      <c r="C51" s="54">
        <v>219</v>
      </c>
      <c r="D51" s="54">
        <v>6</v>
      </c>
      <c r="E51" s="54">
        <v>6</v>
      </c>
      <c r="F51" s="54">
        <f>19-1</f>
        <v>18</v>
      </c>
      <c r="G51" s="54">
        <f>3677-194</f>
        <v>3483</v>
      </c>
      <c r="H51" s="58">
        <v>505000</v>
      </c>
      <c r="I51" s="26">
        <f t="shared" si="1"/>
        <v>193.5</v>
      </c>
      <c r="J51" s="39">
        <f t="shared" si="6"/>
        <v>1758915</v>
      </c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48">
        <v>590000</v>
      </c>
      <c r="AM51" s="8">
        <v>626854</v>
      </c>
    </row>
    <row r="52" spans="1:39" ht="15" customHeight="1">
      <c r="A52" s="7">
        <v>60</v>
      </c>
      <c r="B52" s="19" t="s">
        <v>10</v>
      </c>
      <c r="C52" s="28">
        <v>219</v>
      </c>
      <c r="D52" s="28">
        <v>8</v>
      </c>
      <c r="E52" s="28">
        <v>6</v>
      </c>
      <c r="F52" s="28">
        <f>17-1</f>
        <v>16</v>
      </c>
      <c r="G52" s="20">
        <f>4322-254</f>
        <v>4068</v>
      </c>
      <c r="H52" s="20">
        <v>550000</v>
      </c>
      <c r="I52" s="26">
        <f t="shared" si="1"/>
        <v>254.25</v>
      </c>
      <c r="J52" s="39">
        <f t="shared" si="6"/>
        <v>2237400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8"/>
      <c r="AI52" s="63">
        <f>SUM(AI8:AI51)</f>
        <v>12599551</v>
      </c>
      <c r="AJ52" s="8"/>
      <c r="AK52" s="8"/>
      <c r="AL52" s="8"/>
      <c r="AM52" s="8"/>
    </row>
    <row r="53" spans="1:39" ht="15" customHeight="1">
      <c r="A53" s="64">
        <v>61</v>
      </c>
      <c r="B53" s="64" t="s">
        <v>10</v>
      </c>
      <c r="C53" s="65">
        <v>219</v>
      </c>
      <c r="D53" s="65">
        <v>10</v>
      </c>
      <c r="E53" s="65" t="s">
        <v>21</v>
      </c>
      <c r="F53" s="65">
        <v>11</v>
      </c>
      <c r="G53" s="65">
        <v>3442</v>
      </c>
      <c r="H53" s="66">
        <v>555000</v>
      </c>
      <c r="I53" s="26">
        <f t="shared" si="1"/>
        <v>312.90909090909093</v>
      </c>
      <c r="J53" s="67">
        <f t="shared" si="6"/>
        <v>1910310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9"/>
      <c r="AJ53" s="68"/>
      <c r="AK53" s="68"/>
      <c r="AL53" s="68"/>
      <c r="AM53" s="68"/>
    </row>
    <row r="54" spans="1:39" ht="15" customHeight="1">
      <c r="A54" s="64">
        <v>62</v>
      </c>
      <c r="B54" s="70" t="s">
        <v>17</v>
      </c>
      <c r="C54" s="70">
        <v>219</v>
      </c>
      <c r="D54" s="70">
        <v>12.7</v>
      </c>
      <c r="E54" s="70">
        <v>6</v>
      </c>
      <c r="F54" s="70">
        <v>9</v>
      </c>
      <c r="G54" s="70">
        <v>3309</v>
      </c>
      <c r="H54" s="71">
        <v>560000</v>
      </c>
      <c r="I54" s="26">
        <f t="shared" si="1"/>
        <v>367.66666666666669</v>
      </c>
      <c r="J54" s="67">
        <f t="shared" si="6"/>
        <v>1853040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9"/>
      <c r="AJ54" s="68"/>
      <c r="AK54" s="68"/>
      <c r="AL54" s="68"/>
      <c r="AM54" s="68"/>
    </row>
    <row r="55" spans="1:39" ht="15" customHeight="1">
      <c r="A55" s="64">
        <v>63</v>
      </c>
      <c r="B55" s="64" t="s">
        <v>10</v>
      </c>
      <c r="C55" s="65">
        <v>273</v>
      </c>
      <c r="D55" s="65">
        <v>6</v>
      </c>
      <c r="E55" s="65" t="s">
        <v>21</v>
      </c>
      <c r="F55" s="65">
        <f>26-2-1</f>
        <v>23</v>
      </c>
      <c r="G55" s="65">
        <f>6543-504-252</f>
        <v>5787</v>
      </c>
      <c r="H55" s="66">
        <v>530000</v>
      </c>
      <c r="I55" s="26">
        <f t="shared" si="1"/>
        <v>251.60869565217391</v>
      </c>
      <c r="J55" s="67">
        <f t="shared" si="6"/>
        <v>3067110</v>
      </c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9"/>
      <c r="AJ55" s="68"/>
      <c r="AK55" s="68"/>
      <c r="AL55" s="68"/>
      <c r="AM55" s="68"/>
    </row>
    <row r="56" spans="1:39" ht="15" customHeight="1">
      <c r="A56" s="68" t="s">
        <v>89</v>
      </c>
      <c r="B56" s="72"/>
      <c r="C56" s="72"/>
      <c r="D56" s="72"/>
      <c r="E56" s="72"/>
      <c r="F56" s="95">
        <f>SUM(F8:F55)</f>
        <v>4157</v>
      </c>
      <c r="G56" s="95">
        <f>SUM(G8:G55)</f>
        <v>88581</v>
      </c>
      <c r="H56" s="73"/>
      <c r="I56" s="74"/>
      <c r="J56" s="94">
        <f>SUM(J8:J55)</f>
        <v>46736348</v>
      </c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9"/>
      <c r="AJ56" s="68"/>
      <c r="AK56" s="68"/>
      <c r="AL56" s="68"/>
      <c r="AM56" s="68"/>
    </row>
    <row r="57" spans="1:39" ht="15" customHeight="1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9"/>
      <c r="AJ57" s="68"/>
      <c r="AK57" s="68"/>
      <c r="AL57" s="68"/>
      <c r="AM57" s="68"/>
    </row>
    <row r="58" spans="1:39" ht="15" customHeight="1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9"/>
      <c r="AJ58" s="68"/>
      <c r="AK58" s="68"/>
      <c r="AL58" s="68"/>
      <c r="AM58" s="68"/>
    </row>
    <row r="59" spans="1:39" ht="15" customHeight="1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9"/>
      <c r="AJ59" s="68"/>
      <c r="AK59" s="68"/>
      <c r="AL59" s="68"/>
      <c r="AM59" s="68"/>
    </row>
    <row r="60" spans="1:39" ht="15" customHeight="1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9"/>
      <c r="AJ60" s="68"/>
      <c r="AK60" s="68"/>
      <c r="AL60" s="68"/>
      <c r="AM60" s="68"/>
    </row>
    <row r="61" spans="1:39" ht="15" customHeight="1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9"/>
      <c r="AJ61" s="68"/>
      <c r="AK61" s="68"/>
      <c r="AL61" s="68"/>
      <c r="AM61" s="68"/>
    </row>
    <row r="62" spans="1:39" ht="15" customHeight="1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9"/>
      <c r="AJ62" s="68"/>
      <c r="AK62" s="68"/>
      <c r="AL62" s="68"/>
      <c r="AM62" s="68"/>
    </row>
    <row r="63" spans="1:39" ht="15" customHeight="1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9"/>
      <c r="AJ63" s="68"/>
      <c r="AK63" s="68"/>
      <c r="AL63" s="68"/>
      <c r="AM63" s="68"/>
    </row>
    <row r="64" spans="1:39" ht="15" customHeight="1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9"/>
      <c r="AJ64" s="68"/>
      <c r="AK64" s="68"/>
      <c r="AL64" s="68"/>
      <c r="AM64" s="68"/>
    </row>
    <row r="65" spans="1:39" ht="15" customHeight="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9"/>
      <c r="AJ65" s="68"/>
      <c r="AK65" s="68"/>
      <c r="AL65" s="68"/>
      <c r="AM65" s="68"/>
    </row>
    <row r="66" spans="1:39" ht="1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 t="s">
        <v>90</v>
      </c>
      <c r="AI66" s="75">
        <v>12254163</v>
      </c>
      <c r="AJ66" s="8"/>
      <c r="AK66" s="8"/>
      <c r="AL66" s="8"/>
      <c r="AM66" s="8"/>
    </row>
    <row r="67" spans="1:39" ht="1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39" ht="15" customHeight="1">
      <c r="A68" s="8"/>
      <c r="B68" s="36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</row>
    <row r="69" spans="1:39" ht="15" customHeight="1">
      <c r="A69" s="8"/>
      <c r="B69" s="76"/>
      <c r="C69" s="41"/>
      <c r="D69" s="41"/>
      <c r="E69" s="41"/>
      <c r="F69" s="41"/>
      <c r="G69" s="41"/>
      <c r="H69" s="41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</row>
    <row r="70" spans="1:39" ht="15" customHeight="1">
      <c r="A70" s="8"/>
      <c r="B70" s="76"/>
      <c r="C70" s="41"/>
      <c r="D70" s="41"/>
      <c r="E70" s="41"/>
      <c r="F70" s="41"/>
      <c r="G70" s="41"/>
      <c r="H70" s="41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</row>
    <row r="71" spans="1:39" ht="15" customHeight="1">
      <c r="A71" s="8"/>
      <c r="B71" s="76"/>
      <c r="C71" s="41"/>
      <c r="D71" s="41"/>
      <c r="E71" s="41"/>
      <c r="F71" s="41"/>
      <c r="G71" s="41"/>
      <c r="H71" s="41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1:39" ht="1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ht="1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</row>
    <row r="74" spans="1:39" ht="1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</row>
    <row r="75" spans="1:39" ht="1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</row>
    <row r="76" spans="1:39" ht="1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</row>
    <row r="77" spans="1:39" ht="1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</row>
    <row r="78" spans="1:39" ht="1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</row>
    <row r="79" spans="1:39" ht="1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ht="1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39" ht="1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1:39" ht="1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</row>
    <row r="83" spans="1:39" ht="1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</row>
    <row r="84" spans="1:39" ht="1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</row>
    <row r="85" spans="1:39" ht="1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</row>
    <row r="86" spans="1:39" ht="1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</row>
    <row r="87" spans="1:39" ht="1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</row>
    <row r="88" spans="1:39" ht="1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</row>
    <row r="89" spans="1:39" ht="1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</row>
    <row r="90" spans="1:39" ht="1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</row>
    <row r="91" spans="1:39" ht="1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</row>
    <row r="92" spans="1:39" ht="1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</row>
    <row r="93" spans="1:39" ht="1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</row>
    <row r="94" spans="1:39" ht="1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</row>
    <row r="95" spans="1:39" ht="1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</row>
    <row r="96" spans="1:39" ht="1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</row>
    <row r="97" spans="1:39" ht="1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</row>
    <row r="98" spans="1:39" ht="1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</row>
    <row r="99" spans="1:39" ht="1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</row>
    <row r="100" spans="1:39" ht="1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</row>
    <row r="101" spans="1:39" ht="1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</row>
    <row r="102" spans="1:39" ht="1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</row>
    <row r="103" spans="1:39" ht="1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</row>
    <row r="104" spans="1:39" ht="1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</row>
    <row r="105" spans="1:39" ht="1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</row>
    <row r="106" spans="1:39" ht="1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</row>
    <row r="107" spans="1:39" ht="1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</row>
    <row r="108" spans="1:39" ht="1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</row>
    <row r="109" spans="1:39" ht="1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</row>
    <row r="110" spans="1:39" ht="1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</row>
    <row r="111" spans="1:39" ht="1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</row>
    <row r="112" spans="1:39" ht="1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</row>
    <row r="113" spans="1:39" ht="1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</row>
    <row r="114" spans="1:39" ht="1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</row>
    <row r="115" spans="1:39" ht="1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</row>
    <row r="116" spans="1:39" ht="1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</row>
    <row r="117" spans="1:39" ht="1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</row>
    <row r="118" spans="1:39" ht="1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</row>
    <row r="119" spans="1:39" ht="1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</row>
    <row r="120" spans="1:39" ht="1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</row>
    <row r="121" spans="1:39" ht="1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</row>
    <row r="122" spans="1:39" ht="1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</row>
    <row r="123" spans="1:39" ht="1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</row>
    <row r="124" spans="1:39" ht="1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</row>
    <row r="125" spans="1:39" ht="1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</row>
    <row r="126" spans="1:39" ht="1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</row>
    <row r="127" spans="1:39" ht="1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</row>
    <row r="128" spans="1:39" ht="1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</row>
    <row r="129" spans="1:39" ht="1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</row>
    <row r="130" spans="1:39" ht="1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</row>
    <row r="131" spans="1:39" ht="1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</row>
    <row r="132" spans="1:39" ht="1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</row>
    <row r="133" spans="1:39" ht="1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</row>
    <row r="134" spans="1:39" ht="1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</row>
    <row r="135" spans="1:39" ht="1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</row>
    <row r="136" spans="1:39" ht="1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</row>
    <row r="137" spans="1:39" ht="1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</row>
    <row r="138" spans="1:39" ht="1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</row>
    <row r="139" spans="1:39" ht="1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</row>
    <row r="140" spans="1:39" ht="1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</row>
    <row r="141" spans="1:39" ht="1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</row>
    <row r="142" spans="1:39" ht="1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</row>
    <row r="143" spans="1:39" ht="1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</row>
    <row r="144" spans="1:39" ht="1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</row>
    <row r="145" spans="1:39" ht="1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</row>
    <row r="146" spans="1:39" ht="1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</row>
    <row r="147" spans="1:39" ht="1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</row>
    <row r="148" spans="1:39" ht="1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</row>
    <row r="149" spans="1:39" ht="1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</row>
    <row r="150" spans="1:39" ht="1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</row>
    <row r="151" spans="1:39" ht="1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</row>
    <row r="152" spans="1:39" ht="1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</row>
    <row r="153" spans="1:39" ht="1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</row>
    <row r="154" spans="1:39" ht="1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</row>
    <row r="155" spans="1:39" ht="1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</row>
    <row r="156" spans="1:39" ht="1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</row>
    <row r="157" spans="1:39" ht="1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</row>
    <row r="158" spans="1:39" ht="1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</row>
    <row r="159" spans="1:39" ht="1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</row>
    <row r="160" spans="1:39" ht="1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</row>
    <row r="161" spans="1:39" ht="1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</row>
    <row r="162" spans="1:39" ht="1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</row>
    <row r="163" spans="1:39" ht="1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</row>
    <row r="164" spans="1:39" ht="1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</row>
    <row r="165" spans="1:39" ht="1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</row>
    <row r="166" spans="1:39" ht="1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</row>
    <row r="167" spans="1:39" ht="1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</row>
    <row r="168" spans="1:39" ht="1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</row>
    <row r="169" spans="1:39" ht="1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</row>
    <row r="170" spans="1:39" ht="1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</row>
    <row r="171" spans="1:39" ht="1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</row>
    <row r="172" spans="1:39" ht="1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</row>
    <row r="173" spans="1:39" ht="1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</row>
    <row r="174" spans="1:39" ht="1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</row>
    <row r="175" spans="1:39" ht="1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</row>
    <row r="176" spans="1:39" ht="1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</row>
    <row r="177" spans="1:39" ht="1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</row>
    <row r="178" spans="1:39" ht="1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</row>
    <row r="179" spans="1:39" ht="1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</row>
    <row r="180" spans="1:39" ht="1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</row>
    <row r="181" spans="1:39" ht="1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</row>
    <row r="182" spans="1:39" ht="1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</row>
    <row r="183" spans="1:39" ht="1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</row>
    <row r="184" spans="1:39" ht="1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</row>
    <row r="185" spans="1:39" ht="1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</row>
    <row r="186" spans="1:39" ht="1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</row>
    <row r="187" spans="1:39" ht="1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</row>
    <row r="188" spans="1:39" ht="1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</row>
    <row r="189" spans="1:39" ht="1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</row>
    <row r="190" spans="1:39" ht="1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</row>
    <row r="191" spans="1:39" ht="1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</row>
    <row r="192" spans="1:39" ht="1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</row>
    <row r="193" spans="1:39" ht="1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</row>
    <row r="194" spans="1:39" ht="1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</row>
    <row r="195" spans="1:39" ht="1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</row>
    <row r="196" spans="1:39" ht="1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</row>
    <row r="197" spans="1:39" ht="1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</row>
    <row r="198" spans="1:39" ht="1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</row>
    <row r="199" spans="1:39" ht="1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</row>
    <row r="200" spans="1:39" ht="1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</row>
    <row r="201" spans="1:39" ht="1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</row>
  </sheetData>
  <mergeCells count="10">
    <mergeCell ref="A5:J5"/>
    <mergeCell ref="A6:G6"/>
    <mergeCell ref="A1:E1"/>
    <mergeCell ref="F1:J1"/>
    <mergeCell ref="A2:E2"/>
    <mergeCell ref="F2:J2"/>
    <mergeCell ref="A3:E3"/>
    <mergeCell ref="F3:J3"/>
    <mergeCell ref="A4:E4"/>
    <mergeCell ref="F4:J4"/>
  </mergeCells>
  <pageMargins left="0.7" right="0.7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1:M201"/>
  <sheetViews>
    <sheetView workbookViewId="0"/>
  </sheetViews>
  <sheetFormatPr defaultRowHeight="12.75"/>
  <cols>
    <col min="1" max="1" width="7" customWidth="1"/>
    <col min="2" max="2" width="17.140625" customWidth="1"/>
    <col min="3" max="3" width="22.7109375" customWidth="1"/>
    <col min="4" max="4" width="20.5703125" customWidth="1"/>
    <col min="5" max="5" width="14.42578125" customWidth="1"/>
    <col min="6" max="6" width="12.28515625" customWidth="1"/>
    <col min="7" max="7" width="9" customWidth="1"/>
    <col min="8" max="8" width="33.7109375" customWidth="1"/>
    <col min="9" max="9" width="43.42578125" customWidth="1"/>
    <col min="10" max="10" width="12.28515625" customWidth="1"/>
    <col min="11" max="11" width="29.28515625" customWidth="1"/>
    <col min="12" max="12" width="21.28515625" customWidth="1"/>
    <col min="13" max="13" width="19" customWidth="1"/>
  </cols>
  <sheetData>
    <row r="1" spans="1:13" ht="39" customHeight="1">
      <c r="A1" s="107"/>
      <c r="B1" s="107"/>
      <c r="C1" s="107"/>
      <c r="D1" s="107"/>
      <c r="E1" s="107"/>
      <c r="F1" s="108" t="s">
        <v>91</v>
      </c>
      <c r="G1" s="108"/>
      <c r="H1" s="108"/>
      <c r="I1" s="108"/>
      <c r="J1" s="108"/>
      <c r="K1" s="108"/>
      <c r="L1" s="8"/>
      <c r="M1" s="8"/>
    </row>
    <row r="2" spans="1:13" ht="21" customHeight="1">
      <c r="A2" s="107"/>
      <c r="B2" s="107"/>
      <c r="C2" s="107"/>
      <c r="D2" s="107"/>
      <c r="E2" s="107"/>
      <c r="F2" s="109" t="s">
        <v>92</v>
      </c>
      <c r="G2" s="109"/>
      <c r="H2" s="109"/>
      <c r="I2" s="109"/>
      <c r="J2" s="109"/>
      <c r="K2" s="109"/>
      <c r="L2" s="8"/>
      <c r="M2" s="8"/>
    </row>
    <row r="3" spans="1:13" ht="21" customHeight="1">
      <c r="A3" s="107"/>
      <c r="B3" s="107"/>
      <c r="C3" s="107"/>
      <c r="D3" s="107"/>
      <c r="E3" s="107"/>
      <c r="F3" s="109">
        <v>78123305588</v>
      </c>
      <c r="G3" s="109"/>
      <c r="H3" s="109"/>
      <c r="I3" s="109"/>
      <c r="J3" s="109"/>
      <c r="K3" s="109"/>
      <c r="L3" s="8"/>
      <c r="M3" s="8"/>
    </row>
    <row r="4" spans="1:13" ht="21" customHeight="1">
      <c r="A4" s="107"/>
      <c r="B4" s="107"/>
      <c r="C4" s="107"/>
      <c r="D4" s="107"/>
      <c r="E4" s="107"/>
      <c r="F4" s="109" t="s">
        <v>93</v>
      </c>
      <c r="G4" s="109"/>
      <c r="H4" s="109"/>
      <c r="I4" s="109"/>
      <c r="J4" s="109"/>
      <c r="K4" s="109"/>
      <c r="L4" s="8"/>
      <c r="M4" s="8"/>
    </row>
    <row r="5" spans="1:13" ht="48" customHeight="1">
      <c r="A5" s="107"/>
      <c r="B5" s="107"/>
      <c r="C5" s="107"/>
      <c r="D5" s="107"/>
      <c r="E5" s="107"/>
      <c r="F5" s="110" t="s">
        <v>94</v>
      </c>
      <c r="G5" s="110"/>
      <c r="H5" s="110"/>
      <c r="I5" s="110"/>
      <c r="J5" s="110"/>
      <c r="K5" s="110"/>
      <c r="L5" s="8"/>
      <c r="M5" s="8"/>
    </row>
    <row r="6" spans="1:13" ht="67.900000000000006" customHeight="1">
      <c r="A6" s="105" t="s">
        <v>95</v>
      </c>
      <c r="B6" s="105"/>
      <c r="C6" s="105"/>
      <c r="D6" s="105"/>
      <c r="E6" s="105"/>
      <c r="F6" s="105"/>
      <c r="G6" s="105"/>
      <c r="H6" s="105"/>
      <c r="I6" s="105"/>
      <c r="J6" s="9"/>
      <c r="K6" s="9"/>
      <c r="L6" s="8" t="s">
        <v>96</v>
      </c>
      <c r="M6" s="8"/>
    </row>
    <row r="7" spans="1:13" ht="27" customHeight="1">
      <c r="A7" s="106" t="s">
        <v>39</v>
      </c>
      <c r="B7" s="106"/>
      <c r="C7" s="106"/>
      <c r="D7" s="106"/>
      <c r="E7" s="106"/>
      <c r="F7" s="106"/>
      <c r="G7" s="106"/>
      <c r="H7" s="106"/>
      <c r="I7" s="77"/>
      <c r="J7" s="9"/>
      <c r="K7" s="9"/>
      <c r="L7" s="8"/>
      <c r="M7" s="8"/>
    </row>
    <row r="8" spans="1:13" ht="27" customHeight="1">
      <c r="A8" s="4" t="s">
        <v>1</v>
      </c>
      <c r="B8" s="4" t="s">
        <v>2</v>
      </c>
      <c r="C8" s="4" t="s">
        <v>97</v>
      </c>
      <c r="D8" s="4" t="s">
        <v>98</v>
      </c>
      <c r="E8" s="4" t="s">
        <v>5</v>
      </c>
      <c r="F8" s="4" t="s">
        <v>6</v>
      </c>
      <c r="G8" s="4" t="s">
        <v>7</v>
      </c>
      <c r="H8" s="4" t="s">
        <v>99</v>
      </c>
      <c r="I8" s="77" t="s">
        <v>100</v>
      </c>
      <c r="J8" s="9" t="s">
        <v>58</v>
      </c>
      <c r="K8" s="9" t="s">
        <v>59</v>
      </c>
      <c r="L8" s="8"/>
      <c r="M8" s="8"/>
    </row>
    <row r="9" spans="1:13" ht="27" customHeight="1">
      <c r="A9" s="4">
        <v>1</v>
      </c>
      <c r="B9" s="4" t="s">
        <v>10</v>
      </c>
      <c r="C9" s="4">
        <v>8</v>
      </c>
      <c r="D9" s="4">
        <v>1</v>
      </c>
      <c r="E9" s="4">
        <v>6</v>
      </c>
      <c r="F9" s="4">
        <v>494</v>
      </c>
      <c r="G9" s="4">
        <v>497</v>
      </c>
      <c r="H9" s="5" t="s">
        <v>11</v>
      </c>
      <c r="I9" s="78">
        <v>860000</v>
      </c>
      <c r="J9" s="26">
        <f t="shared" ref="J9:J19" si="0">G9/F9</f>
        <v>1.0060728744939271</v>
      </c>
      <c r="K9" s="27">
        <f t="shared" ref="K9:K16" si="1">I9*G9/1000</f>
        <v>427420</v>
      </c>
      <c r="L9" s="8">
        <v>862000</v>
      </c>
      <c r="M9" s="8"/>
    </row>
    <row r="10" spans="1:13" ht="27" customHeight="1">
      <c r="A10" s="4">
        <v>2</v>
      </c>
      <c r="B10" s="4" t="s">
        <v>10</v>
      </c>
      <c r="C10" s="4">
        <v>14</v>
      </c>
      <c r="D10" s="4">
        <v>2</v>
      </c>
      <c r="E10" s="4">
        <v>6</v>
      </c>
      <c r="F10" s="4">
        <v>254</v>
      </c>
      <c r="G10" s="4">
        <v>852</v>
      </c>
      <c r="H10" s="5" t="s">
        <v>11</v>
      </c>
      <c r="I10" s="78">
        <v>600000</v>
      </c>
      <c r="J10" s="26">
        <f t="shared" si="0"/>
        <v>3.3543307086614171</v>
      </c>
      <c r="K10" s="27">
        <f t="shared" si="1"/>
        <v>511200</v>
      </c>
      <c r="L10" s="8">
        <v>613600</v>
      </c>
      <c r="M10" s="8"/>
    </row>
    <row r="11" spans="1:13" ht="27" customHeight="1">
      <c r="A11" s="4">
        <v>3</v>
      </c>
      <c r="B11" s="4" t="s">
        <v>10</v>
      </c>
      <c r="C11" s="4">
        <v>16</v>
      </c>
      <c r="D11" s="4">
        <v>2</v>
      </c>
      <c r="E11" s="4">
        <v>6</v>
      </c>
      <c r="F11" s="4">
        <v>112</v>
      </c>
      <c r="G11" s="4">
        <v>483</v>
      </c>
      <c r="H11" s="5" t="s">
        <v>11</v>
      </c>
      <c r="I11" s="78">
        <v>500000</v>
      </c>
      <c r="J11" s="26">
        <f t="shared" si="0"/>
        <v>4.3125</v>
      </c>
      <c r="K11" s="27">
        <f t="shared" si="1"/>
        <v>241500</v>
      </c>
      <c r="L11" s="8">
        <v>591050</v>
      </c>
      <c r="M11" s="8"/>
    </row>
    <row r="12" spans="1:13" ht="27" customHeight="1">
      <c r="A12" s="4">
        <v>4</v>
      </c>
      <c r="B12" s="4" t="s">
        <v>10</v>
      </c>
      <c r="C12" s="4">
        <v>20</v>
      </c>
      <c r="D12" s="4">
        <v>2</v>
      </c>
      <c r="E12" s="4">
        <v>6</v>
      </c>
      <c r="F12" s="4">
        <v>330</v>
      </c>
      <c r="G12" s="4">
        <v>1768</v>
      </c>
      <c r="H12" s="5" t="s">
        <v>11</v>
      </c>
      <c r="I12" s="78">
        <v>550000</v>
      </c>
      <c r="J12" s="26">
        <f t="shared" si="0"/>
        <v>5.3575757575757574</v>
      </c>
      <c r="K12" s="27">
        <f t="shared" si="1"/>
        <v>972400</v>
      </c>
      <c r="L12" s="8">
        <v>562000</v>
      </c>
      <c r="M12" s="79">
        <f>I12*0.97</f>
        <v>533500</v>
      </c>
    </row>
    <row r="13" spans="1:13" ht="27" customHeight="1">
      <c r="A13" s="4">
        <v>5</v>
      </c>
      <c r="B13" s="4" t="s">
        <v>10</v>
      </c>
      <c r="C13" s="4">
        <v>42</v>
      </c>
      <c r="D13" s="4">
        <v>3</v>
      </c>
      <c r="E13" s="4">
        <v>6</v>
      </c>
      <c r="F13" s="4">
        <v>1</v>
      </c>
      <c r="G13" s="4">
        <v>18</v>
      </c>
      <c r="H13" s="5" t="s">
        <v>11</v>
      </c>
      <c r="I13" s="27">
        <v>500000</v>
      </c>
      <c r="J13" s="26">
        <f t="shared" si="0"/>
        <v>18</v>
      </c>
      <c r="K13" s="27">
        <f t="shared" si="1"/>
        <v>9000</v>
      </c>
      <c r="L13" s="8">
        <v>502000</v>
      </c>
      <c r="M13" s="8"/>
    </row>
    <row r="14" spans="1:13" ht="27" customHeight="1">
      <c r="A14" s="4">
        <v>6</v>
      </c>
      <c r="B14" s="4" t="s">
        <v>10</v>
      </c>
      <c r="C14" s="4">
        <v>48</v>
      </c>
      <c r="D14" s="4">
        <v>3</v>
      </c>
      <c r="E14" s="4">
        <v>6</v>
      </c>
      <c r="F14" s="4">
        <v>46</v>
      </c>
      <c r="G14" s="4">
        <v>963</v>
      </c>
      <c r="H14" s="5" t="s">
        <v>11</v>
      </c>
      <c r="I14" s="27">
        <v>500000</v>
      </c>
      <c r="J14" s="26">
        <f t="shared" si="0"/>
        <v>20.934782608695652</v>
      </c>
      <c r="K14" s="27">
        <f t="shared" si="1"/>
        <v>481500</v>
      </c>
      <c r="L14" s="8">
        <v>502000</v>
      </c>
      <c r="M14" s="8"/>
    </row>
    <row r="15" spans="1:13" ht="27" customHeight="1">
      <c r="A15" s="4">
        <v>8</v>
      </c>
      <c r="B15" s="4" t="s">
        <v>10</v>
      </c>
      <c r="C15" s="4">
        <v>133</v>
      </c>
      <c r="D15" s="4">
        <v>5</v>
      </c>
      <c r="E15" s="4">
        <v>6</v>
      </c>
      <c r="F15" s="4">
        <v>17</v>
      </c>
      <c r="G15" s="4">
        <v>1691</v>
      </c>
      <c r="H15" s="5" t="s">
        <v>11</v>
      </c>
      <c r="I15" s="27">
        <v>500000</v>
      </c>
      <c r="J15" s="26">
        <f t="shared" si="0"/>
        <v>99.470588235294116</v>
      </c>
      <c r="K15" s="27">
        <f t="shared" si="1"/>
        <v>845500</v>
      </c>
      <c r="L15" s="8">
        <v>547000</v>
      </c>
      <c r="M15" s="8"/>
    </row>
    <row r="16" spans="1:13" ht="27" customHeight="1">
      <c r="A16" s="4">
        <v>9</v>
      </c>
      <c r="B16" s="4" t="s">
        <v>10</v>
      </c>
      <c r="C16" s="4">
        <v>141</v>
      </c>
      <c r="D16" s="4">
        <v>6.5</v>
      </c>
      <c r="E16" s="4">
        <v>6</v>
      </c>
      <c r="F16" s="4">
        <v>1</v>
      </c>
      <c r="G16" s="4">
        <v>133</v>
      </c>
      <c r="H16" s="5" t="s">
        <v>11</v>
      </c>
      <c r="I16" s="27">
        <v>500000</v>
      </c>
      <c r="J16" s="26">
        <f t="shared" si="0"/>
        <v>133</v>
      </c>
      <c r="K16" s="27">
        <f t="shared" si="1"/>
        <v>66500</v>
      </c>
      <c r="L16" s="8">
        <v>547000</v>
      </c>
      <c r="M16" s="8"/>
    </row>
    <row r="17" spans="1:13" ht="27" customHeight="1">
      <c r="A17" s="4">
        <v>10</v>
      </c>
      <c r="B17" s="4" t="s">
        <v>17</v>
      </c>
      <c r="C17" s="4">
        <v>168</v>
      </c>
      <c r="D17" s="4">
        <v>7</v>
      </c>
      <c r="E17" s="4">
        <v>6</v>
      </c>
      <c r="F17" s="4">
        <v>11</v>
      </c>
      <c r="G17" s="4">
        <v>1934</v>
      </c>
      <c r="H17" s="5" t="s">
        <v>11</v>
      </c>
      <c r="I17" s="27">
        <v>521000</v>
      </c>
      <c r="J17" s="26">
        <f t="shared" si="0"/>
        <v>175.81818181818181</v>
      </c>
      <c r="K17" s="27">
        <f>G17*I17/1000</f>
        <v>1007614</v>
      </c>
      <c r="L17" s="8">
        <v>571900</v>
      </c>
      <c r="M17" s="8"/>
    </row>
    <row r="18" spans="1:13" ht="27" customHeight="1">
      <c r="A18" s="4">
        <v>11</v>
      </c>
      <c r="B18" s="5" t="s">
        <v>17</v>
      </c>
      <c r="C18" s="80">
        <v>168</v>
      </c>
      <c r="D18" s="80">
        <v>8</v>
      </c>
      <c r="E18" s="81">
        <v>6</v>
      </c>
      <c r="F18" s="80">
        <v>1</v>
      </c>
      <c r="G18" s="80">
        <v>192</v>
      </c>
      <c r="H18" s="5" t="s">
        <v>11</v>
      </c>
      <c r="I18" s="82">
        <v>400000</v>
      </c>
      <c r="J18" s="26">
        <f t="shared" si="0"/>
        <v>192</v>
      </c>
      <c r="K18" s="27">
        <f>G18*I18/1000</f>
        <v>76800</v>
      </c>
      <c r="L18" s="8">
        <v>571900</v>
      </c>
      <c r="M18" s="8"/>
    </row>
    <row r="19" spans="1:13" ht="27" customHeight="1">
      <c r="A19" s="4">
        <v>12</v>
      </c>
      <c r="B19" s="4" t="s">
        <v>10</v>
      </c>
      <c r="C19" s="4">
        <v>219.1</v>
      </c>
      <c r="D19" s="4">
        <v>12.7</v>
      </c>
      <c r="E19" s="4">
        <v>6</v>
      </c>
      <c r="F19" s="4">
        <v>12</v>
      </c>
      <c r="G19" s="4">
        <v>4670</v>
      </c>
      <c r="H19" s="5" t="s">
        <v>11</v>
      </c>
      <c r="I19" s="78">
        <v>540000</v>
      </c>
      <c r="J19" s="26">
        <f t="shared" si="0"/>
        <v>389.16666666666669</v>
      </c>
      <c r="K19" s="27">
        <f>I19*G19/1000</f>
        <v>2521800</v>
      </c>
      <c r="L19" s="8">
        <v>542000</v>
      </c>
      <c r="M19" s="8">
        <v>550</v>
      </c>
    </row>
    <row r="20" spans="1:13" ht="27" customHeight="1">
      <c r="A20" s="4"/>
      <c r="B20" s="4"/>
      <c r="C20" s="4"/>
      <c r="D20" s="4"/>
      <c r="E20" s="4"/>
      <c r="F20" s="4">
        <f>SUM(F9:F19)</f>
        <v>1279</v>
      </c>
      <c r="G20" s="4">
        <f>SUM(G9:G19)</f>
        <v>13201</v>
      </c>
      <c r="H20" s="4"/>
      <c r="I20" s="5"/>
      <c r="J20" s="9"/>
      <c r="K20" s="27">
        <f>SUM(K9:K19)</f>
        <v>7161234</v>
      </c>
      <c r="L20" s="83">
        <f>K20*0.85/12</f>
        <v>507254.07499999995</v>
      </c>
      <c r="M20" s="8"/>
    </row>
    <row r="21" spans="1:13" ht="18">
      <c r="A21" s="8"/>
      <c r="B21" s="8"/>
      <c r="C21" s="8"/>
      <c r="D21" s="8"/>
      <c r="E21" s="8"/>
      <c r="F21" s="8"/>
      <c r="G21" s="8"/>
      <c r="H21" s="8"/>
      <c r="I21" s="84"/>
      <c r="J21" s="8"/>
      <c r="K21" s="8"/>
      <c r="L21" s="8"/>
      <c r="M21" s="8"/>
    </row>
    <row r="22" spans="1:13" ht="18">
      <c r="A22" s="8"/>
      <c r="B22" s="8"/>
      <c r="C22" s="8"/>
      <c r="D22" s="8"/>
      <c r="E22" s="8"/>
      <c r="F22" s="8"/>
      <c r="G22" s="8"/>
      <c r="H22" s="8"/>
      <c r="I22" s="84"/>
      <c r="J22" s="8"/>
      <c r="K22" s="8"/>
      <c r="L22" s="8"/>
      <c r="M22" s="8"/>
    </row>
    <row r="23" spans="1:13" ht="15.75">
      <c r="A23" s="4">
        <v>1</v>
      </c>
      <c r="B23" s="4" t="s">
        <v>10</v>
      </c>
      <c r="C23" s="19">
        <v>8</v>
      </c>
      <c r="D23" s="85">
        <v>1</v>
      </c>
      <c r="E23" s="85">
        <v>6</v>
      </c>
      <c r="F23" s="85">
        <v>580</v>
      </c>
      <c r="G23" s="85">
        <v>583</v>
      </c>
      <c r="H23" s="5" t="s">
        <v>13</v>
      </c>
      <c r="I23" s="5"/>
      <c r="J23" s="8"/>
      <c r="K23" s="8"/>
      <c r="L23" s="8"/>
      <c r="M23" s="8"/>
    </row>
    <row r="24" spans="1:13" ht="15.75">
      <c r="A24" s="4">
        <v>1</v>
      </c>
      <c r="B24" s="4" t="s">
        <v>10</v>
      </c>
      <c r="C24" s="19">
        <v>20</v>
      </c>
      <c r="D24" s="19">
        <v>3</v>
      </c>
      <c r="E24" s="19">
        <v>6</v>
      </c>
      <c r="F24" s="19">
        <v>121</v>
      </c>
      <c r="G24" s="19">
        <v>944</v>
      </c>
      <c r="H24" s="5" t="s">
        <v>14</v>
      </c>
      <c r="I24" s="5"/>
      <c r="J24" s="8"/>
      <c r="K24" s="8"/>
      <c r="L24" s="8"/>
      <c r="M24" s="8"/>
    </row>
    <row r="25" spans="1:13" ht="15.75">
      <c r="A25" s="4">
        <v>2</v>
      </c>
      <c r="B25" s="4" t="s">
        <v>10</v>
      </c>
      <c r="C25" s="19">
        <v>20</v>
      </c>
      <c r="D25" s="19">
        <v>3</v>
      </c>
      <c r="E25" s="19" t="s">
        <v>28</v>
      </c>
      <c r="F25" s="19">
        <v>23</v>
      </c>
      <c r="G25" s="19">
        <v>177</v>
      </c>
      <c r="H25" s="5" t="s">
        <v>14</v>
      </c>
      <c r="I25" s="5"/>
      <c r="J25" s="8"/>
      <c r="K25" s="8"/>
      <c r="L25" s="8"/>
      <c r="M25" s="8"/>
    </row>
    <row r="26" spans="1:13" ht="15.75">
      <c r="A26" s="4">
        <v>2</v>
      </c>
      <c r="B26" s="4" t="s">
        <v>10</v>
      </c>
      <c r="C26" s="86">
        <v>22</v>
      </c>
      <c r="D26" s="87">
        <v>3</v>
      </c>
      <c r="E26" s="87">
        <v>6</v>
      </c>
      <c r="F26" s="87">
        <v>211</v>
      </c>
      <c r="G26" s="87">
        <v>1748</v>
      </c>
      <c r="H26" s="5" t="s">
        <v>13</v>
      </c>
      <c r="I26" s="5"/>
      <c r="J26" s="8"/>
      <c r="K26" s="8"/>
      <c r="L26" s="8"/>
      <c r="M26" s="8"/>
    </row>
    <row r="27" spans="1:13" ht="15.75">
      <c r="A27" s="4">
        <v>4</v>
      </c>
      <c r="B27" s="4" t="s">
        <v>10</v>
      </c>
      <c r="C27" s="86">
        <v>25</v>
      </c>
      <c r="D27" s="87">
        <v>3</v>
      </c>
      <c r="E27" s="87">
        <v>6</v>
      </c>
      <c r="F27" s="87">
        <v>127</v>
      </c>
      <c r="G27" s="87">
        <v>1235</v>
      </c>
      <c r="H27" s="5" t="s">
        <v>101</v>
      </c>
      <c r="I27" s="5"/>
      <c r="J27" s="8"/>
      <c r="K27" s="8"/>
      <c r="L27" s="8"/>
      <c r="M27" s="8"/>
    </row>
    <row r="28" spans="1:13" ht="15.75">
      <c r="A28" s="4">
        <v>5</v>
      </c>
      <c r="B28" s="4" t="s">
        <v>10</v>
      </c>
      <c r="C28" s="86">
        <v>27</v>
      </c>
      <c r="D28" s="87">
        <v>3</v>
      </c>
      <c r="E28" s="87">
        <v>6</v>
      </c>
      <c r="F28" s="87">
        <v>128</v>
      </c>
      <c r="G28" s="87">
        <v>1395</v>
      </c>
      <c r="H28" s="5" t="s">
        <v>102</v>
      </c>
      <c r="I28" s="5"/>
      <c r="J28" s="8"/>
      <c r="K28" s="8"/>
      <c r="L28" s="8"/>
      <c r="M28" s="8"/>
    </row>
    <row r="29" spans="1:13" ht="15.75">
      <c r="A29" s="4">
        <v>6</v>
      </c>
      <c r="B29" s="4" t="s">
        <v>10</v>
      </c>
      <c r="C29" s="86">
        <v>57</v>
      </c>
      <c r="D29" s="87">
        <v>3</v>
      </c>
      <c r="E29" s="87">
        <v>6</v>
      </c>
      <c r="F29" s="87">
        <v>267</v>
      </c>
      <c r="G29" s="87">
        <v>6433</v>
      </c>
      <c r="H29" s="5" t="s">
        <v>103</v>
      </c>
      <c r="I29" s="5"/>
      <c r="J29" s="8"/>
      <c r="K29" s="8"/>
      <c r="L29" s="8"/>
      <c r="M29" s="8"/>
    </row>
    <row r="30" spans="1:13" ht="15.75">
      <c r="A30" s="4">
        <v>3</v>
      </c>
      <c r="B30" s="4" t="s">
        <v>10</v>
      </c>
      <c r="C30" s="19">
        <v>57</v>
      </c>
      <c r="D30" s="19">
        <v>3</v>
      </c>
      <c r="E30" s="19" t="s">
        <v>28</v>
      </c>
      <c r="F30" s="19">
        <v>23</v>
      </c>
      <c r="G30" s="19">
        <v>560</v>
      </c>
      <c r="H30" s="5" t="s">
        <v>14</v>
      </c>
      <c r="I30" s="5"/>
      <c r="J30" s="8"/>
      <c r="K30" s="8"/>
      <c r="L30" s="8"/>
      <c r="M30" s="8"/>
    </row>
    <row r="31" spans="1:13" ht="15.75">
      <c r="A31" s="4">
        <v>6</v>
      </c>
      <c r="B31" s="4" t="s">
        <v>10</v>
      </c>
      <c r="C31" s="19">
        <v>57</v>
      </c>
      <c r="D31" s="19">
        <v>4</v>
      </c>
      <c r="E31" s="19">
        <v>6</v>
      </c>
      <c r="F31" s="19">
        <v>103</v>
      </c>
      <c r="G31" s="19">
        <v>3340</v>
      </c>
      <c r="H31" s="5" t="s">
        <v>14</v>
      </c>
      <c r="I31" s="5"/>
      <c r="J31" s="8"/>
      <c r="K31" s="8"/>
      <c r="L31" s="8"/>
      <c r="M31" s="8"/>
    </row>
    <row r="32" spans="1:13" ht="15.75">
      <c r="A32" s="4">
        <v>7</v>
      </c>
      <c r="B32" s="4" t="s">
        <v>10</v>
      </c>
      <c r="C32" s="19">
        <v>76</v>
      </c>
      <c r="D32" s="19">
        <v>3</v>
      </c>
      <c r="E32" s="19">
        <v>6</v>
      </c>
      <c r="F32" s="19">
        <v>94</v>
      </c>
      <c r="G32" s="19">
        <v>3141</v>
      </c>
      <c r="H32" s="5" t="s">
        <v>14</v>
      </c>
      <c r="I32" s="5"/>
      <c r="J32" s="8"/>
      <c r="K32" s="8"/>
      <c r="L32" s="8"/>
      <c r="M32" s="8"/>
    </row>
    <row r="33" spans="1:13" ht="15.75">
      <c r="A33" s="4">
        <v>8</v>
      </c>
      <c r="B33" s="4" t="s">
        <v>10</v>
      </c>
      <c r="C33" s="19">
        <v>76</v>
      </c>
      <c r="D33" s="19">
        <v>4</v>
      </c>
      <c r="E33" s="19" t="s">
        <v>28</v>
      </c>
      <c r="F33" s="19">
        <v>25</v>
      </c>
      <c r="G33" s="19">
        <v>1074</v>
      </c>
      <c r="H33" s="5" t="s">
        <v>14</v>
      </c>
      <c r="I33" s="5"/>
      <c r="J33" s="8"/>
      <c r="K33" s="8"/>
      <c r="L33" s="8"/>
      <c r="M33" s="8"/>
    </row>
    <row r="34" spans="1:13" ht="15.75">
      <c r="A34" s="4">
        <v>9</v>
      </c>
      <c r="B34" s="4" t="s">
        <v>10</v>
      </c>
      <c r="C34" s="19">
        <v>76</v>
      </c>
      <c r="D34" s="19">
        <v>4</v>
      </c>
      <c r="E34" s="19">
        <v>6</v>
      </c>
      <c r="F34" s="19">
        <v>61</v>
      </c>
      <c r="G34" s="19">
        <v>2667</v>
      </c>
      <c r="H34" s="5" t="s">
        <v>14</v>
      </c>
      <c r="I34" s="5"/>
      <c r="J34" s="8"/>
      <c r="K34" s="8"/>
      <c r="L34" s="8"/>
      <c r="M34" s="8"/>
    </row>
    <row r="35" spans="1:13" ht="15.75">
      <c r="A35" s="4">
        <v>10</v>
      </c>
      <c r="B35" s="4" t="s">
        <v>10</v>
      </c>
      <c r="C35" s="19">
        <v>89</v>
      </c>
      <c r="D35" s="19">
        <v>4</v>
      </c>
      <c r="E35" s="19" t="s">
        <v>28</v>
      </c>
      <c r="F35" s="19">
        <v>42</v>
      </c>
      <c r="G35" s="19">
        <v>2092</v>
      </c>
      <c r="H35" s="5" t="s">
        <v>14</v>
      </c>
      <c r="I35" s="5"/>
      <c r="J35" s="8"/>
      <c r="K35" s="8"/>
      <c r="L35" s="8"/>
      <c r="M35" s="8"/>
    </row>
    <row r="36" spans="1:13" ht="15.75">
      <c r="A36" s="4">
        <v>11</v>
      </c>
      <c r="B36" s="4" t="s">
        <v>10</v>
      </c>
      <c r="C36" s="19">
        <v>89</v>
      </c>
      <c r="D36" s="19">
        <v>4</v>
      </c>
      <c r="E36" s="19">
        <v>6</v>
      </c>
      <c r="F36" s="19">
        <v>144</v>
      </c>
      <c r="G36" s="19">
        <v>7276</v>
      </c>
      <c r="H36" s="5" t="s">
        <v>104</v>
      </c>
      <c r="I36" s="5"/>
      <c r="J36" s="8"/>
      <c r="K36" s="8"/>
      <c r="L36" s="8"/>
      <c r="M36" s="8"/>
    </row>
    <row r="37" spans="1:13" ht="15.75">
      <c r="A37" s="4">
        <v>13</v>
      </c>
      <c r="B37" s="4" t="s">
        <v>10</v>
      </c>
      <c r="C37" s="19">
        <v>108</v>
      </c>
      <c r="D37" s="19">
        <v>4</v>
      </c>
      <c r="E37" s="19">
        <v>6</v>
      </c>
      <c r="F37" s="19">
        <v>1</v>
      </c>
      <c r="G37" s="19">
        <v>61</v>
      </c>
      <c r="H37" s="5" t="s">
        <v>14</v>
      </c>
      <c r="I37" s="5"/>
      <c r="J37" s="8"/>
      <c r="K37" s="8"/>
      <c r="L37" s="8"/>
      <c r="M37" s="8"/>
    </row>
    <row r="38" spans="1:13" ht="15.75">
      <c r="A38" s="4">
        <v>6</v>
      </c>
      <c r="B38" s="4" t="s">
        <v>10</v>
      </c>
      <c r="C38" s="86">
        <v>325</v>
      </c>
      <c r="D38" s="87">
        <v>8</v>
      </c>
      <c r="E38" s="87">
        <v>6</v>
      </c>
      <c r="F38" s="87">
        <v>4</v>
      </c>
      <c r="G38" s="87">
        <v>1536</v>
      </c>
      <c r="H38" s="5" t="s">
        <v>13</v>
      </c>
      <c r="I38" s="5"/>
      <c r="J38" s="8"/>
      <c r="K38" s="8"/>
      <c r="L38" s="8"/>
      <c r="M38" s="8"/>
    </row>
    <row r="39" spans="1:13" ht="15.75">
      <c r="A39" s="4">
        <v>3</v>
      </c>
      <c r="B39" s="4" t="s">
        <v>10</v>
      </c>
      <c r="C39" s="86">
        <v>325</v>
      </c>
      <c r="D39" s="87">
        <v>12</v>
      </c>
      <c r="E39" s="87">
        <v>6</v>
      </c>
      <c r="F39" s="87">
        <v>7</v>
      </c>
      <c r="G39" s="87">
        <v>3995</v>
      </c>
      <c r="H39" s="5" t="s">
        <v>101</v>
      </c>
      <c r="I39" s="5"/>
      <c r="J39" s="8"/>
      <c r="K39" s="88"/>
      <c r="L39" s="83"/>
      <c r="M39" s="8"/>
    </row>
    <row r="40" spans="1:13" ht="21" customHeight="1">
      <c r="A40" s="8"/>
      <c r="B40" s="8"/>
      <c r="C40" s="8"/>
      <c r="D40" s="8"/>
      <c r="E40" s="8"/>
      <c r="F40" s="8"/>
      <c r="G40" s="8"/>
      <c r="H40" s="8"/>
      <c r="I40" s="84"/>
      <c r="J40" s="8"/>
      <c r="K40" s="8"/>
      <c r="L40" s="8"/>
      <c r="M40" s="8"/>
    </row>
    <row r="41" spans="1:13" ht="15.75">
      <c r="A41" s="4">
        <v>2</v>
      </c>
      <c r="B41" s="4" t="s">
        <v>10</v>
      </c>
      <c r="C41" s="86">
        <v>325</v>
      </c>
      <c r="D41" s="87">
        <v>8</v>
      </c>
      <c r="E41" s="87" t="s">
        <v>105</v>
      </c>
      <c r="F41" s="87">
        <v>44</v>
      </c>
      <c r="G41" s="87">
        <v>17059</v>
      </c>
      <c r="H41" s="5" t="s">
        <v>101</v>
      </c>
      <c r="I41" s="5"/>
      <c r="J41" s="8"/>
      <c r="K41" s="8"/>
      <c r="L41" s="8"/>
      <c r="M41" s="8"/>
    </row>
    <row r="42" spans="1:13" ht="15.75">
      <c r="A42" s="4">
        <v>7</v>
      </c>
      <c r="B42" s="4" t="s">
        <v>10</v>
      </c>
      <c r="C42" s="86">
        <v>325</v>
      </c>
      <c r="D42" s="87">
        <v>8</v>
      </c>
      <c r="E42" s="87" t="s">
        <v>105</v>
      </c>
      <c r="F42" s="87">
        <v>35</v>
      </c>
      <c r="G42" s="87">
        <v>13225</v>
      </c>
      <c r="H42" s="5" t="s">
        <v>13</v>
      </c>
      <c r="I42" s="5"/>
      <c r="J42" s="8"/>
      <c r="K42" s="8"/>
      <c r="L42" s="8"/>
      <c r="M42" s="8"/>
    </row>
    <row r="43" spans="1:13" ht="15.75">
      <c r="A43" s="4">
        <v>9</v>
      </c>
      <c r="B43" s="4" t="s">
        <v>106</v>
      </c>
      <c r="C43" s="86">
        <v>89</v>
      </c>
      <c r="D43" s="87">
        <v>6</v>
      </c>
      <c r="E43" s="87" t="s">
        <v>105</v>
      </c>
      <c r="F43" s="87">
        <v>3</v>
      </c>
      <c r="G43" s="87">
        <v>231</v>
      </c>
      <c r="H43" s="5" t="s">
        <v>13</v>
      </c>
      <c r="I43" s="5"/>
      <c r="J43" s="8"/>
      <c r="K43" s="8"/>
      <c r="L43" s="8"/>
      <c r="M43" s="8"/>
    </row>
    <row r="44" spans="1:13" ht="15.75">
      <c r="A44" s="4">
        <v>10</v>
      </c>
      <c r="B44" s="4" t="s">
        <v>106</v>
      </c>
      <c r="C44" s="86">
        <v>108</v>
      </c>
      <c r="D44" s="87">
        <v>14</v>
      </c>
      <c r="E44" s="87" t="s">
        <v>105</v>
      </c>
      <c r="F44" s="87">
        <v>7</v>
      </c>
      <c r="G44" s="87">
        <v>1629</v>
      </c>
      <c r="H44" s="5" t="s">
        <v>13</v>
      </c>
      <c r="I44" s="5"/>
      <c r="J44" s="8"/>
      <c r="K44" s="8"/>
      <c r="L44" s="8"/>
      <c r="M44" s="8"/>
    </row>
    <row r="45" spans="1:13" ht="18">
      <c r="A45" s="8"/>
      <c r="B45" s="8"/>
      <c r="C45" s="8"/>
      <c r="D45" s="8"/>
      <c r="E45" s="8"/>
      <c r="F45" s="8"/>
      <c r="G45" s="8"/>
      <c r="H45" s="8"/>
      <c r="I45" s="84"/>
      <c r="J45" s="8"/>
      <c r="K45" s="8"/>
      <c r="L45" s="8"/>
      <c r="M45" s="8"/>
    </row>
    <row r="46" spans="1:13" ht="18">
      <c r="A46" s="8"/>
      <c r="B46" s="8"/>
      <c r="C46" s="8"/>
      <c r="D46" s="8"/>
      <c r="E46" s="8"/>
      <c r="F46" s="8">
        <f>SUM(F23:F45)</f>
        <v>2050</v>
      </c>
      <c r="G46" s="8">
        <f>SUM(G23:G45)</f>
        <v>70401</v>
      </c>
      <c r="H46" s="8"/>
      <c r="I46" s="84"/>
      <c r="J46" s="8"/>
      <c r="K46" s="8"/>
      <c r="L46" s="8"/>
      <c r="M46" s="8"/>
    </row>
    <row r="47" spans="1:13" ht="18">
      <c r="A47" s="8"/>
      <c r="B47" s="8"/>
      <c r="C47" s="8"/>
      <c r="D47" s="8"/>
      <c r="E47" s="8"/>
      <c r="F47" s="8"/>
      <c r="G47" s="8"/>
      <c r="H47" s="8"/>
      <c r="I47" s="84"/>
      <c r="J47" s="8"/>
      <c r="K47" s="8"/>
      <c r="L47" s="8"/>
      <c r="M47" s="8"/>
    </row>
    <row r="48" spans="1:13" ht="18">
      <c r="A48" s="8"/>
      <c r="B48" s="8"/>
      <c r="C48" s="8"/>
      <c r="D48" s="8"/>
      <c r="E48" s="8"/>
      <c r="F48" s="8"/>
      <c r="G48" s="8"/>
      <c r="H48" s="8"/>
      <c r="I48" s="84"/>
      <c r="J48" s="8"/>
      <c r="K48" s="8"/>
      <c r="L48" s="8"/>
      <c r="M48" s="8"/>
    </row>
    <row r="49" spans="1:13" ht="18">
      <c r="A49" s="8"/>
      <c r="B49" s="8"/>
      <c r="C49" s="8"/>
      <c r="D49" s="8"/>
      <c r="E49" s="8"/>
      <c r="F49" s="8"/>
      <c r="G49" s="8"/>
      <c r="H49" s="8"/>
      <c r="I49" s="84"/>
      <c r="J49" s="8"/>
      <c r="K49" s="8"/>
      <c r="L49" s="8"/>
      <c r="M49" s="8"/>
    </row>
    <row r="50" spans="1:13" ht="18">
      <c r="A50" s="8"/>
      <c r="B50" s="8"/>
      <c r="C50" s="8"/>
      <c r="D50" s="8"/>
      <c r="E50" s="8"/>
      <c r="F50" s="8"/>
      <c r="G50" s="8"/>
      <c r="H50" s="8"/>
      <c r="I50" s="84"/>
      <c r="J50" s="8"/>
      <c r="K50" s="8"/>
      <c r="L50" s="8"/>
      <c r="M50" s="8"/>
    </row>
    <row r="51" spans="1:13" ht="18">
      <c r="A51" s="8"/>
      <c r="B51" s="8"/>
      <c r="C51" s="8"/>
      <c r="D51" s="8"/>
      <c r="E51" s="8"/>
      <c r="F51" s="8"/>
      <c r="G51" s="8"/>
      <c r="H51" s="8"/>
      <c r="I51" s="84"/>
      <c r="J51" s="8"/>
      <c r="K51" s="8"/>
      <c r="L51" s="8"/>
      <c r="M51" s="8"/>
    </row>
    <row r="52" spans="1:13" ht="18">
      <c r="A52" s="8"/>
      <c r="B52" s="8"/>
      <c r="C52" s="8"/>
      <c r="D52" s="8"/>
      <c r="E52" s="8"/>
      <c r="F52" s="8"/>
      <c r="G52" s="8"/>
      <c r="H52" s="8"/>
      <c r="I52" s="84"/>
      <c r="J52" s="8"/>
      <c r="K52" s="8"/>
      <c r="L52" s="8"/>
      <c r="M52" s="8"/>
    </row>
    <row r="53" spans="1:13" ht="18">
      <c r="A53" s="8"/>
      <c r="B53" s="8"/>
      <c r="C53" s="8"/>
      <c r="D53" s="8"/>
      <c r="E53" s="8"/>
      <c r="F53" s="8"/>
      <c r="G53" s="8"/>
      <c r="H53" s="8"/>
      <c r="I53" s="84"/>
      <c r="J53" s="8"/>
      <c r="K53" s="8"/>
      <c r="L53" s="8"/>
      <c r="M53" s="8"/>
    </row>
    <row r="54" spans="1:13" ht="18">
      <c r="A54" s="8"/>
      <c r="B54" s="8"/>
      <c r="C54" s="8"/>
      <c r="D54" s="8"/>
      <c r="E54" s="8"/>
      <c r="F54" s="8"/>
      <c r="G54" s="8"/>
      <c r="H54" s="8"/>
      <c r="I54" s="84"/>
      <c r="J54" s="8"/>
      <c r="K54" s="8"/>
      <c r="L54" s="8"/>
      <c r="M54" s="8"/>
    </row>
    <row r="55" spans="1:13" ht="18">
      <c r="A55" s="8"/>
      <c r="B55" s="8"/>
      <c r="C55" s="8"/>
      <c r="D55" s="8"/>
      <c r="E55" s="8"/>
      <c r="F55" s="8"/>
      <c r="G55" s="8"/>
      <c r="H55" s="8"/>
      <c r="I55" s="84"/>
      <c r="J55" s="8"/>
      <c r="K55" s="8"/>
      <c r="L55" s="8"/>
      <c r="M55" s="8"/>
    </row>
    <row r="56" spans="1:13" ht="18">
      <c r="A56" s="8"/>
      <c r="B56" s="8"/>
      <c r="C56" s="8"/>
      <c r="D56" s="8"/>
      <c r="E56" s="8"/>
      <c r="F56" s="8"/>
      <c r="G56" s="8"/>
      <c r="H56" s="8"/>
      <c r="I56" s="84"/>
      <c r="J56" s="8"/>
      <c r="K56" s="8"/>
      <c r="L56" s="8"/>
      <c r="M56" s="8"/>
    </row>
    <row r="57" spans="1:13" ht="18">
      <c r="A57" s="8"/>
      <c r="B57" s="8"/>
      <c r="C57" s="8"/>
      <c r="D57" s="8"/>
      <c r="E57" s="8"/>
      <c r="F57" s="8"/>
      <c r="G57" s="8"/>
      <c r="H57" s="8"/>
      <c r="I57" s="84"/>
      <c r="J57" s="8"/>
      <c r="K57" s="8"/>
      <c r="L57" s="8"/>
      <c r="M57" s="8"/>
    </row>
    <row r="58" spans="1:13" ht="18">
      <c r="A58" s="8"/>
      <c r="B58" s="8"/>
      <c r="C58" s="8"/>
      <c r="D58" s="8"/>
      <c r="E58" s="8"/>
      <c r="F58" s="8"/>
      <c r="G58" s="8"/>
      <c r="H58" s="8"/>
      <c r="I58" s="84"/>
      <c r="J58" s="8"/>
      <c r="K58" s="8"/>
      <c r="L58" s="8"/>
      <c r="M58" s="8"/>
    </row>
    <row r="59" spans="1:13" ht="18">
      <c r="A59" s="8"/>
      <c r="B59" s="8"/>
      <c r="C59" s="8"/>
      <c r="D59" s="8"/>
      <c r="E59" s="8"/>
      <c r="F59" s="8"/>
      <c r="G59" s="8"/>
      <c r="H59" s="8"/>
      <c r="I59" s="84"/>
      <c r="J59" s="8"/>
      <c r="K59" s="8"/>
      <c r="L59" s="8"/>
      <c r="M59" s="8"/>
    </row>
    <row r="60" spans="1:13" ht="18">
      <c r="A60" s="8"/>
      <c r="B60" s="8"/>
      <c r="C60" s="8"/>
      <c r="D60" s="8"/>
      <c r="E60" s="8"/>
      <c r="F60" s="8"/>
      <c r="G60" s="8"/>
      <c r="H60" s="8"/>
      <c r="I60" s="84"/>
      <c r="J60" s="8"/>
      <c r="K60" s="8"/>
      <c r="L60" s="8"/>
      <c r="M60" s="8"/>
    </row>
    <row r="61" spans="1:13" ht="18">
      <c r="A61" s="8"/>
      <c r="B61" s="8"/>
      <c r="C61" s="8"/>
      <c r="D61" s="8"/>
      <c r="E61" s="8"/>
      <c r="F61" s="8"/>
      <c r="G61" s="8"/>
      <c r="H61" s="8"/>
      <c r="I61" s="84"/>
      <c r="J61" s="8"/>
      <c r="K61" s="8"/>
      <c r="L61" s="8"/>
      <c r="M61" s="8"/>
    </row>
    <row r="62" spans="1:13" ht="18">
      <c r="A62" s="8"/>
      <c r="B62" s="8"/>
      <c r="C62" s="8"/>
      <c r="D62" s="8"/>
      <c r="E62" s="8"/>
      <c r="F62" s="8"/>
      <c r="G62" s="8"/>
      <c r="H62" s="8"/>
      <c r="I62" s="84"/>
      <c r="J62" s="8"/>
      <c r="K62" s="8"/>
      <c r="L62" s="8"/>
      <c r="M62" s="8"/>
    </row>
    <row r="63" spans="1:13" ht="18">
      <c r="A63" s="8"/>
      <c r="B63" s="8"/>
      <c r="C63" s="8"/>
      <c r="D63" s="8"/>
      <c r="E63" s="8"/>
      <c r="F63" s="8"/>
      <c r="G63" s="8"/>
      <c r="H63" s="8"/>
      <c r="I63" s="84"/>
      <c r="J63" s="8"/>
      <c r="K63" s="8"/>
      <c r="L63" s="8"/>
      <c r="M63" s="8"/>
    </row>
    <row r="64" spans="1:13" ht="18">
      <c r="A64" s="8"/>
      <c r="B64" s="8"/>
      <c r="C64" s="8"/>
      <c r="D64" s="8"/>
      <c r="E64" s="8"/>
      <c r="F64" s="8"/>
      <c r="G64" s="8"/>
      <c r="H64" s="8"/>
      <c r="I64" s="84"/>
      <c r="J64" s="8"/>
      <c r="K64" s="8"/>
      <c r="L64" s="8"/>
      <c r="M64" s="8"/>
    </row>
    <row r="65" spans="1:13" ht="18">
      <c r="A65" s="8"/>
      <c r="B65" s="8"/>
      <c r="C65" s="8"/>
      <c r="D65" s="8"/>
      <c r="E65" s="8"/>
      <c r="F65" s="8"/>
      <c r="G65" s="8"/>
      <c r="H65" s="8"/>
      <c r="I65" s="84"/>
      <c r="J65" s="8"/>
      <c r="K65" s="8"/>
      <c r="L65" s="8"/>
      <c r="M65" s="8"/>
    </row>
    <row r="66" spans="1:13" ht="18">
      <c r="A66" s="8"/>
      <c r="B66" s="8"/>
      <c r="C66" s="8"/>
      <c r="D66" s="8"/>
      <c r="E66" s="8"/>
      <c r="F66" s="8"/>
      <c r="G66" s="8"/>
      <c r="H66" s="8"/>
      <c r="I66" s="84"/>
      <c r="J66" s="8"/>
      <c r="K66" s="8"/>
      <c r="L66" s="8"/>
      <c r="M66" s="8"/>
    </row>
    <row r="67" spans="1:13" ht="18">
      <c r="A67" s="8"/>
      <c r="B67" s="8"/>
      <c r="C67" s="8"/>
      <c r="D67" s="8"/>
      <c r="E67" s="8"/>
      <c r="F67" s="8"/>
      <c r="G67" s="8"/>
      <c r="H67" s="8"/>
      <c r="I67" s="84"/>
      <c r="J67" s="8"/>
      <c r="K67" s="8"/>
      <c r="L67" s="8"/>
      <c r="M67" s="8"/>
    </row>
    <row r="68" spans="1:13" ht="18">
      <c r="A68" s="8"/>
      <c r="B68" s="8"/>
      <c r="C68" s="8"/>
      <c r="D68" s="8"/>
      <c r="E68" s="8"/>
      <c r="F68" s="8"/>
      <c r="G68" s="8"/>
      <c r="H68" s="8"/>
      <c r="I68" s="84"/>
      <c r="J68" s="8"/>
      <c r="K68" s="8"/>
      <c r="L68" s="8"/>
      <c r="M68" s="8"/>
    </row>
    <row r="69" spans="1:13" ht="18">
      <c r="A69" s="8"/>
      <c r="B69" s="8"/>
      <c r="C69" s="8"/>
      <c r="D69" s="8"/>
      <c r="E69" s="8"/>
      <c r="F69" s="8"/>
      <c r="G69" s="8"/>
      <c r="H69" s="8"/>
      <c r="I69" s="84"/>
      <c r="J69" s="8"/>
      <c r="K69" s="8"/>
      <c r="L69" s="8"/>
      <c r="M69" s="8"/>
    </row>
    <row r="70" spans="1:13" ht="18">
      <c r="A70" s="8"/>
      <c r="B70" s="8"/>
      <c r="C70" s="8"/>
      <c r="D70" s="8"/>
      <c r="E70" s="8"/>
      <c r="F70" s="8"/>
      <c r="G70" s="8"/>
      <c r="H70" s="8"/>
      <c r="I70" s="84"/>
      <c r="J70" s="8"/>
      <c r="K70" s="8"/>
      <c r="L70" s="8"/>
      <c r="M70" s="8"/>
    </row>
    <row r="71" spans="1:13" ht="18">
      <c r="A71" s="8"/>
      <c r="B71" s="8"/>
      <c r="C71" s="8"/>
      <c r="D71" s="8"/>
      <c r="E71" s="8"/>
      <c r="F71" s="8"/>
      <c r="G71" s="8"/>
      <c r="H71" s="8"/>
      <c r="I71" s="84"/>
      <c r="J71" s="8"/>
      <c r="K71" s="8"/>
      <c r="L71" s="8"/>
      <c r="M71" s="8"/>
    </row>
    <row r="72" spans="1:13" ht="18">
      <c r="A72" s="8"/>
      <c r="B72" s="8"/>
      <c r="C72" s="8"/>
      <c r="D72" s="8"/>
      <c r="E72" s="8"/>
      <c r="F72" s="8"/>
      <c r="G72" s="8"/>
      <c r="H72" s="8"/>
      <c r="I72" s="84"/>
      <c r="J72" s="8"/>
      <c r="K72" s="8"/>
      <c r="L72" s="8"/>
      <c r="M72" s="8"/>
    </row>
    <row r="73" spans="1:13" ht="18">
      <c r="A73" s="8"/>
      <c r="B73" s="8"/>
      <c r="C73" s="8"/>
      <c r="D73" s="8"/>
      <c r="E73" s="8"/>
      <c r="F73" s="8"/>
      <c r="G73" s="8"/>
      <c r="H73" s="8"/>
      <c r="I73" s="84"/>
      <c r="J73" s="8"/>
      <c r="K73" s="8"/>
      <c r="L73" s="8"/>
      <c r="M73" s="8"/>
    </row>
    <row r="74" spans="1:13" ht="18">
      <c r="A74" s="8"/>
      <c r="B74" s="8"/>
      <c r="C74" s="8"/>
      <c r="D74" s="8"/>
      <c r="E74" s="8"/>
      <c r="F74" s="8"/>
      <c r="G74" s="8"/>
      <c r="H74" s="8"/>
      <c r="I74" s="84"/>
      <c r="J74" s="8"/>
      <c r="K74" s="8"/>
      <c r="L74" s="8"/>
      <c r="M74" s="8"/>
    </row>
    <row r="75" spans="1:13" ht="18">
      <c r="A75" s="8"/>
      <c r="B75" s="8"/>
      <c r="C75" s="8"/>
      <c r="D75" s="8"/>
      <c r="E75" s="8"/>
      <c r="F75" s="8"/>
      <c r="G75" s="8"/>
      <c r="H75" s="8"/>
      <c r="I75" s="84"/>
      <c r="J75" s="8"/>
      <c r="K75" s="8"/>
      <c r="L75" s="8"/>
      <c r="M75" s="8"/>
    </row>
    <row r="76" spans="1:13" ht="18">
      <c r="A76" s="8"/>
      <c r="B76" s="8"/>
      <c r="C76" s="8"/>
      <c r="D76" s="8"/>
      <c r="E76" s="8"/>
      <c r="F76" s="8"/>
      <c r="G76" s="8"/>
      <c r="H76" s="8"/>
      <c r="I76" s="84"/>
      <c r="J76" s="8"/>
      <c r="K76" s="8"/>
      <c r="L76" s="8"/>
      <c r="M76" s="8"/>
    </row>
    <row r="77" spans="1:13" ht="18">
      <c r="A77" s="8"/>
      <c r="B77" s="8"/>
      <c r="C77" s="8"/>
      <c r="D77" s="8"/>
      <c r="E77" s="8"/>
      <c r="F77" s="8"/>
      <c r="G77" s="8"/>
      <c r="H77" s="8"/>
      <c r="I77" s="84"/>
      <c r="J77" s="8"/>
      <c r="K77" s="8"/>
      <c r="L77" s="8"/>
      <c r="M77" s="8"/>
    </row>
    <row r="78" spans="1:13" ht="18">
      <c r="A78" s="8"/>
      <c r="B78" s="8"/>
      <c r="C78" s="8"/>
      <c r="D78" s="8"/>
      <c r="E78" s="8"/>
      <c r="F78" s="8"/>
      <c r="G78" s="8"/>
      <c r="H78" s="8"/>
      <c r="I78" s="84"/>
      <c r="J78" s="8"/>
      <c r="K78" s="8"/>
      <c r="L78" s="8"/>
      <c r="M78" s="8"/>
    </row>
    <row r="79" spans="1:13" ht="18">
      <c r="A79" s="8"/>
      <c r="B79" s="8"/>
      <c r="C79" s="8"/>
      <c r="D79" s="8"/>
      <c r="E79" s="8"/>
      <c r="F79" s="8"/>
      <c r="G79" s="8"/>
      <c r="H79" s="8"/>
      <c r="I79" s="84"/>
      <c r="J79" s="8"/>
      <c r="K79" s="8"/>
      <c r="L79" s="8"/>
      <c r="M79" s="8"/>
    </row>
    <row r="80" spans="1:13" ht="18">
      <c r="A80" s="8"/>
      <c r="B80" s="8"/>
      <c r="C80" s="8"/>
      <c r="D80" s="8"/>
      <c r="E80" s="8"/>
      <c r="F80" s="8"/>
      <c r="G80" s="8"/>
      <c r="H80" s="8"/>
      <c r="I80" s="84"/>
      <c r="J80" s="8"/>
      <c r="K80" s="8"/>
      <c r="L80" s="8"/>
      <c r="M80" s="8"/>
    </row>
    <row r="81" spans="1:13" ht="18">
      <c r="A81" s="8"/>
      <c r="B81" s="8"/>
      <c r="C81" s="8"/>
      <c r="D81" s="8"/>
      <c r="E81" s="8"/>
      <c r="F81" s="8"/>
      <c r="G81" s="8"/>
      <c r="H81" s="8"/>
      <c r="I81" s="84"/>
      <c r="J81" s="8"/>
      <c r="K81" s="8"/>
      <c r="L81" s="8"/>
      <c r="M81" s="8"/>
    </row>
    <row r="82" spans="1:13" ht="18">
      <c r="A82" s="8"/>
      <c r="B82" s="8"/>
      <c r="C82" s="8"/>
      <c r="D82" s="8"/>
      <c r="E82" s="8"/>
      <c r="F82" s="8"/>
      <c r="G82" s="8"/>
      <c r="H82" s="8"/>
      <c r="I82" s="84"/>
      <c r="J82" s="8"/>
      <c r="K82" s="8"/>
      <c r="L82" s="8"/>
      <c r="M82" s="8"/>
    </row>
    <row r="83" spans="1:13" ht="18">
      <c r="A83" s="8"/>
      <c r="B83" s="8"/>
      <c r="C83" s="8"/>
      <c r="D83" s="8"/>
      <c r="E83" s="8"/>
      <c r="F83" s="8"/>
      <c r="G83" s="8"/>
      <c r="H83" s="8"/>
      <c r="I83" s="84"/>
      <c r="J83" s="8"/>
      <c r="K83" s="8"/>
      <c r="L83" s="8"/>
      <c r="M83" s="8"/>
    </row>
    <row r="84" spans="1:13" ht="18">
      <c r="A84" s="8"/>
      <c r="B84" s="8"/>
      <c r="C84" s="8"/>
      <c r="D84" s="8"/>
      <c r="E84" s="8"/>
      <c r="F84" s="8"/>
      <c r="G84" s="8"/>
      <c r="H84" s="8"/>
      <c r="I84" s="84"/>
      <c r="J84" s="8"/>
      <c r="K84" s="8"/>
      <c r="L84" s="8"/>
      <c r="M84" s="8"/>
    </row>
    <row r="85" spans="1:13" ht="18">
      <c r="A85" s="8"/>
      <c r="B85" s="8"/>
      <c r="C85" s="8"/>
      <c r="D85" s="8"/>
      <c r="E85" s="8"/>
      <c r="F85" s="8"/>
      <c r="G85" s="8"/>
      <c r="H85" s="8"/>
      <c r="I85" s="84"/>
      <c r="J85" s="8"/>
      <c r="K85" s="8"/>
      <c r="L85" s="8"/>
      <c r="M85" s="8"/>
    </row>
    <row r="86" spans="1:13" ht="18">
      <c r="A86" s="8"/>
      <c r="B86" s="8"/>
      <c r="C86" s="8"/>
      <c r="D86" s="8"/>
      <c r="E86" s="8"/>
      <c r="F86" s="8"/>
      <c r="G86" s="8"/>
      <c r="H86" s="8"/>
      <c r="I86" s="84"/>
      <c r="J86" s="8"/>
      <c r="K86" s="8"/>
      <c r="L86" s="8"/>
      <c r="M86" s="8"/>
    </row>
    <row r="87" spans="1:13" ht="18">
      <c r="A87" s="8"/>
      <c r="B87" s="8"/>
      <c r="C87" s="8"/>
      <c r="D87" s="8"/>
      <c r="E87" s="8"/>
      <c r="F87" s="8"/>
      <c r="G87" s="8"/>
      <c r="H87" s="8"/>
      <c r="I87" s="84"/>
      <c r="J87" s="8"/>
      <c r="K87" s="8"/>
      <c r="L87" s="8"/>
      <c r="M87" s="8"/>
    </row>
    <row r="88" spans="1:13" ht="18">
      <c r="A88" s="8"/>
      <c r="B88" s="8"/>
      <c r="C88" s="8"/>
      <c r="D88" s="8"/>
      <c r="E88" s="8"/>
      <c r="F88" s="8"/>
      <c r="G88" s="8"/>
      <c r="H88" s="8"/>
      <c r="I88" s="84"/>
      <c r="J88" s="8"/>
      <c r="K88" s="8"/>
      <c r="L88" s="8"/>
      <c r="M88" s="8"/>
    </row>
    <row r="89" spans="1:13" ht="18">
      <c r="A89" s="8"/>
      <c r="B89" s="8"/>
      <c r="C89" s="8"/>
      <c r="D89" s="8"/>
      <c r="E89" s="8"/>
      <c r="F89" s="8"/>
      <c r="G89" s="8"/>
      <c r="H89" s="8"/>
      <c r="I89" s="84"/>
      <c r="J89" s="8"/>
      <c r="K89" s="8"/>
      <c r="L89" s="8"/>
      <c r="M89" s="8"/>
    </row>
    <row r="90" spans="1:13" ht="18">
      <c r="A90" s="8"/>
      <c r="B90" s="8"/>
      <c r="C90" s="8"/>
      <c r="D90" s="8"/>
      <c r="E90" s="8"/>
      <c r="F90" s="8"/>
      <c r="G90" s="8"/>
      <c r="H90" s="8"/>
      <c r="I90" s="84"/>
      <c r="J90" s="8"/>
      <c r="K90" s="8"/>
      <c r="L90" s="8"/>
      <c r="M90" s="8"/>
    </row>
    <row r="91" spans="1:13" ht="18">
      <c r="A91" s="8"/>
      <c r="B91" s="8"/>
      <c r="C91" s="8"/>
      <c r="D91" s="8"/>
      <c r="E91" s="8"/>
      <c r="F91" s="8"/>
      <c r="G91" s="8"/>
      <c r="H91" s="8"/>
      <c r="I91" s="84"/>
      <c r="J91" s="8"/>
      <c r="K91" s="8"/>
      <c r="L91" s="8"/>
      <c r="M91" s="8"/>
    </row>
    <row r="92" spans="1:13" ht="18">
      <c r="A92" s="8"/>
      <c r="B92" s="8"/>
      <c r="C92" s="8"/>
      <c r="D92" s="8"/>
      <c r="E92" s="8"/>
      <c r="F92" s="8"/>
      <c r="G92" s="8"/>
      <c r="H92" s="8"/>
      <c r="I92" s="84"/>
      <c r="J92" s="8"/>
      <c r="K92" s="8"/>
      <c r="L92" s="8"/>
      <c r="M92" s="8"/>
    </row>
    <row r="93" spans="1:13" ht="18">
      <c r="A93" s="8"/>
      <c r="B93" s="8"/>
      <c r="C93" s="8"/>
      <c r="D93" s="8"/>
      <c r="E93" s="8"/>
      <c r="F93" s="8"/>
      <c r="G93" s="8"/>
      <c r="H93" s="8"/>
      <c r="I93" s="84"/>
      <c r="J93" s="8"/>
      <c r="K93" s="8"/>
      <c r="L93" s="8"/>
      <c r="M93" s="8"/>
    </row>
    <row r="94" spans="1:13" ht="18">
      <c r="A94" s="8"/>
      <c r="B94" s="8"/>
      <c r="C94" s="8"/>
      <c r="D94" s="8"/>
      <c r="E94" s="8"/>
      <c r="F94" s="8"/>
      <c r="G94" s="8"/>
      <c r="H94" s="8"/>
      <c r="I94" s="84"/>
      <c r="J94" s="8"/>
      <c r="K94" s="8"/>
      <c r="L94" s="8"/>
      <c r="M94" s="8"/>
    </row>
    <row r="95" spans="1:13" ht="18">
      <c r="A95" s="8"/>
      <c r="B95" s="8"/>
      <c r="C95" s="8"/>
      <c r="D95" s="8"/>
      <c r="E95" s="8"/>
      <c r="F95" s="8"/>
      <c r="G95" s="8"/>
      <c r="H95" s="8"/>
      <c r="I95" s="84"/>
      <c r="J95" s="8"/>
      <c r="K95" s="8"/>
      <c r="L95" s="8"/>
      <c r="M95" s="8"/>
    </row>
    <row r="96" spans="1:13" ht="18">
      <c r="A96" s="8"/>
      <c r="B96" s="8"/>
      <c r="C96" s="8"/>
      <c r="D96" s="8"/>
      <c r="E96" s="8"/>
      <c r="F96" s="8"/>
      <c r="G96" s="8"/>
      <c r="H96" s="8"/>
      <c r="I96" s="84"/>
      <c r="J96" s="8"/>
      <c r="K96" s="8"/>
      <c r="L96" s="8"/>
      <c r="M96" s="8"/>
    </row>
    <row r="97" spans="1:13" ht="18">
      <c r="A97" s="8"/>
      <c r="B97" s="8"/>
      <c r="C97" s="8"/>
      <c r="D97" s="8"/>
      <c r="E97" s="8"/>
      <c r="F97" s="8"/>
      <c r="G97" s="8"/>
      <c r="H97" s="8"/>
      <c r="I97" s="84"/>
      <c r="J97" s="8"/>
      <c r="K97" s="8"/>
      <c r="L97" s="8"/>
      <c r="M97" s="8"/>
    </row>
    <row r="98" spans="1:13" ht="18">
      <c r="A98" s="8"/>
      <c r="B98" s="8"/>
      <c r="C98" s="8"/>
      <c r="D98" s="8"/>
      <c r="E98" s="8"/>
      <c r="F98" s="8"/>
      <c r="G98" s="8"/>
      <c r="H98" s="8"/>
      <c r="I98" s="84"/>
      <c r="J98" s="8"/>
      <c r="K98" s="8"/>
      <c r="L98" s="8"/>
      <c r="M98" s="8"/>
    </row>
    <row r="99" spans="1:13" ht="18">
      <c r="A99" s="8"/>
      <c r="B99" s="8"/>
      <c r="C99" s="8"/>
      <c r="D99" s="8"/>
      <c r="E99" s="8"/>
      <c r="F99" s="8"/>
      <c r="G99" s="8"/>
      <c r="H99" s="8"/>
      <c r="I99" s="84"/>
      <c r="J99" s="8"/>
      <c r="K99" s="8"/>
      <c r="L99" s="8"/>
      <c r="M99" s="8"/>
    </row>
    <row r="100" spans="1:13" ht="18">
      <c r="A100" s="8"/>
      <c r="B100" s="8"/>
      <c r="C100" s="8"/>
      <c r="D100" s="8"/>
      <c r="E100" s="8"/>
      <c r="F100" s="8"/>
      <c r="G100" s="8"/>
      <c r="H100" s="8"/>
      <c r="I100" s="84"/>
      <c r="J100" s="8"/>
      <c r="K100" s="8"/>
      <c r="L100" s="8"/>
      <c r="M100" s="8"/>
    </row>
    <row r="101" spans="1:13" ht="18">
      <c r="A101" s="8"/>
      <c r="B101" s="8"/>
      <c r="C101" s="8"/>
      <c r="D101" s="8"/>
      <c r="E101" s="8"/>
      <c r="F101" s="8"/>
      <c r="G101" s="8"/>
      <c r="H101" s="8"/>
      <c r="I101" s="84"/>
      <c r="J101" s="8"/>
      <c r="K101" s="8"/>
      <c r="L101" s="8"/>
      <c r="M101" s="8"/>
    </row>
    <row r="102" spans="1:13" ht="18">
      <c r="A102" s="8"/>
      <c r="B102" s="8"/>
      <c r="C102" s="8"/>
      <c r="D102" s="8"/>
      <c r="E102" s="8"/>
      <c r="F102" s="8"/>
      <c r="G102" s="8"/>
      <c r="H102" s="8"/>
      <c r="I102" s="84"/>
      <c r="J102" s="8"/>
      <c r="K102" s="8"/>
      <c r="L102" s="8"/>
      <c r="M102" s="8"/>
    </row>
    <row r="103" spans="1:13" ht="18">
      <c r="A103" s="8"/>
      <c r="B103" s="8"/>
      <c r="C103" s="8"/>
      <c r="D103" s="8"/>
      <c r="E103" s="8"/>
      <c r="F103" s="8"/>
      <c r="G103" s="8"/>
      <c r="H103" s="8"/>
      <c r="I103" s="84"/>
      <c r="J103" s="8"/>
      <c r="K103" s="8"/>
      <c r="L103" s="8"/>
      <c r="M103" s="8"/>
    </row>
    <row r="104" spans="1:13" ht="18">
      <c r="A104" s="8"/>
      <c r="B104" s="8"/>
      <c r="C104" s="8"/>
      <c r="D104" s="8"/>
      <c r="E104" s="8"/>
      <c r="F104" s="8"/>
      <c r="G104" s="8"/>
      <c r="H104" s="8"/>
      <c r="I104" s="84"/>
      <c r="J104" s="8"/>
      <c r="K104" s="8"/>
      <c r="L104" s="8"/>
      <c r="M104" s="8"/>
    </row>
    <row r="105" spans="1:13" ht="18">
      <c r="A105" s="8"/>
      <c r="B105" s="8"/>
      <c r="C105" s="8"/>
      <c r="D105" s="8"/>
      <c r="E105" s="8"/>
      <c r="F105" s="8"/>
      <c r="G105" s="8"/>
      <c r="H105" s="8"/>
      <c r="I105" s="84"/>
      <c r="J105" s="8"/>
      <c r="K105" s="8"/>
      <c r="L105" s="8"/>
      <c r="M105" s="8"/>
    </row>
    <row r="106" spans="1:13" ht="18">
      <c r="A106" s="8"/>
      <c r="B106" s="8"/>
      <c r="C106" s="8"/>
      <c r="D106" s="8"/>
      <c r="E106" s="8"/>
      <c r="F106" s="8"/>
      <c r="G106" s="8"/>
      <c r="H106" s="8"/>
      <c r="I106" s="84"/>
      <c r="J106" s="8"/>
      <c r="K106" s="8"/>
      <c r="L106" s="8"/>
      <c r="M106" s="8"/>
    </row>
    <row r="107" spans="1:13" ht="18">
      <c r="A107" s="8"/>
      <c r="B107" s="8"/>
      <c r="C107" s="8"/>
      <c r="D107" s="8"/>
      <c r="E107" s="8"/>
      <c r="F107" s="8"/>
      <c r="G107" s="8"/>
      <c r="H107" s="8"/>
      <c r="I107" s="84"/>
      <c r="J107" s="8"/>
      <c r="K107" s="8"/>
      <c r="L107" s="8"/>
      <c r="M107" s="8"/>
    </row>
    <row r="108" spans="1:13" ht="18">
      <c r="A108" s="8"/>
      <c r="B108" s="8"/>
      <c r="C108" s="8"/>
      <c r="D108" s="8"/>
      <c r="E108" s="8"/>
      <c r="F108" s="8"/>
      <c r="G108" s="8"/>
      <c r="H108" s="8"/>
      <c r="I108" s="84"/>
      <c r="J108" s="8"/>
      <c r="K108" s="8"/>
      <c r="L108" s="8"/>
      <c r="M108" s="8"/>
    </row>
    <row r="109" spans="1:13" ht="18">
      <c r="A109" s="8"/>
      <c r="B109" s="8"/>
      <c r="C109" s="8"/>
      <c r="D109" s="8"/>
      <c r="E109" s="8"/>
      <c r="F109" s="8"/>
      <c r="G109" s="8"/>
      <c r="H109" s="8"/>
      <c r="I109" s="84"/>
      <c r="J109" s="8"/>
      <c r="K109" s="8"/>
      <c r="L109" s="8"/>
      <c r="M109" s="8"/>
    </row>
    <row r="110" spans="1:13" ht="18">
      <c r="A110" s="8"/>
      <c r="B110" s="8"/>
      <c r="C110" s="8"/>
      <c r="D110" s="8"/>
      <c r="E110" s="8"/>
      <c r="F110" s="8"/>
      <c r="G110" s="8"/>
      <c r="H110" s="8"/>
      <c r="I110" s="84"/>
      <c r="J110" s="8"/>
      <c r="K110" s="8"/>
      <c r="L110" s="8"/>
      <c r="M110" s="8"/>
    </row>
    <row r="111" spans="1:13" ht="18">
      <c r="A111" s="8"/>
      <c r="B111" s="8"/>
      <c r="C111" s="8"/>
      <c r="D111" s="8"/>
      <c r="E111" s="8"/>
      <c r="F111" s="8"/>
      <c r="G111" s="8"/>
      <c r="H111" s="8"/>
      <c r="I111" s="84"/>
      <c r="J111" s="8"/>
      <c r="K111" s="8"/>
      <c r="L111" s="8"/>
      <c r="M111" s="8"/>
    </row>
    <row r="112" spans="1:13" ht="18">
      <c r="A112" s="8"/>
      <c r="B112" s="8"/>
      <c r="C112" s="8"/>
      <c r="D112" s="8"/>
      <c r="E112" s="8"/>
      <c r="F112" s="8"/>
      <c r="G112" s="8"/>
      <c r="H112" s="8"/>
      <c r="I112" s="84"/>
      <c r="J112" s="8"/>
      <c r="K112" s="8"/>
      <c r="L112" s="8"/>
      <c r="M112" s="8"/>
    </row>
    <row r="113" spans="1:13" ht="18">
      <c r="A113" s="8"/>
      <c r="B113" s="8"/>
      <c r="C113" s="8"/>
      <c r="D113" s="8"/>
      <c r="E113" s="8"/>
      <c r="F113" s="8"/>
      <c r="G113" s="8"/>
      <c r="H113" s="8"/>
      <c r="I113" s="84"/>
      <c r="J113" s="8"/>
      <c r="K113" s="8"/>
      <c r="L113" s="8"/>
      <c r="M113" s="8"/>
    </row>
    <row r="114" spans="1:13" ht="18">
      <c r="A114" s="8"/>
      <c r="B114" s="8"/>
      <c r="C114" s="8"/>
      <c r="D114" s="8"/>
      <c r="E114" s="8"/>
      <c r="F114" s="8"/>
      <c r="G114" s="8"/>
      <c r="H114" s="8"/>
      <c r="I114" s="84"/>
      <c r="J114" s="8"/>
      <c r="K114" s="8"/>
      <c r="L114" s="8"/>
      <c r="M114" s="8"/>
    </row>
    <row r="115" spans="1:13" ht="18">
      <c r="A115" s="8"/>
      <c r="B115" s="8"/>
      <c r="C115" s="8"/>
      <c r="D115" s="8"/>
      <c r="E115" s="8"/>
      <c r="F115" s="8"/>
      <c r="G115" s="8"/>
      <c r="H115" s="8"/>
      <c r="I115" s="84"/>
      <c r="J115" s="8"/>
      <c r="K115" s="8"/>
      <c r="L115" s="8"/>
      <c r="M115" s="8"/>
    </row>
    <row r="116" spans="1:13" ht="18">
      <c r="A116" s="8"/>
      <c r="B116" s="8"/>
      <c r="C116" s="8"/>
      <c r="D116" s="8"/>
      <c r="E116" s="8"/>
      <c r="F116" s="8"/>
      <c r="G116" s="8"/>
      <c r="H116" s="8"/>
      <c r="I116" s="84"/>
      <c r="J116" s="8"/>
      <c r="K116" s="8"/>
      <c r="L116" s="8"/>
      <c r="M116" s="8"/>
    </row>
    <row r="117" spans="1:13" ht="18">
      <c r="A117" s="8"/>
      <c r="B117" s="8"/>
      <c r="C117" s="8"/>
      <c r="D117" s="8"/>
      <c r="E117" s="8"/>
      <c r="F117" s="8"/>
      <c r="G117" s="8"/>
      <c r="H117" s="8"/>
      <c r="I117" s="84"/>
      <c r="J117" s="8"/>
      <c r="K117" s="8"/>
      <c r="L117" s="8"/>
      <c r="M117" s="8"/>
    </row>
    <row r="118" spans="1:13" ht="18">
      <c r="A118" s="8"/>
      <c r="B118" s="8"/>
      <c r="C118" s="8"/>
      <c r="D118" s="8"/>
      <c r="E118" s="8"/>
      <c r="F118" s="8"/>
      <c r="G118" s="8"/>
      <c r="H118" s="8"/>
      <c r="I118" s="84"/>
      <c r="J118" s="8"/>
      <c r="K118" s="8"/>
      <c r="L118" s="8"/>
      <c r="M118" s="8"/>
    </row>
    <row r="119" spans="1:13" ht="18">
      <c r="A119" s="8"/>
      <c r="B119" s="8"/>
      <c r="C119" s="8"/>
      <c r="D119" s="8"/>
      <c r="E119" s="8"/>
      <c r="F119" s="8"/>
      <c r="G119" s="8"/>
      <c r="H119" s="8"/>
      <c r="I119" s="84"/>
      <c r="J119" s="8"/>
      <c r="K119" s="8"/>
      <c r="L119" s="8"/>
      <c r="M119" s="8"/>
    </row>
    <row r="120" spans="1:13" ht="18">
      <c r="A120" s="8"/>
      <c r="B120" s="8"/>
      <c r="C120" s="8"/>
      <c r="D120" s="8"/>
      <c r="E120" s="8"/>
      <c r="F120" s="8"/>
      <c r="G120" s="8"/>
      <c r="H120" s="8"/>
      <c r="I120" s="84"/>
      <c r="J120" s="8"/>
      <c r="K120" s="8"/>
      <c r="L120" s="8"/>
      <c r="M120" s="8"/>
    </row>
    <row r="121" spans="1:13" ht="18">
      <c r="A121" s="8"/>
      <c r="B121" s="8"/>
      <c r="C121" s="8"/>
      <c r="D121" s="8"/>
      <c r="E121" s="8"/>
      <c r="F121" s="8"/>
      <c r="G121" s="8"/>
      <c r="H121" s="8"/>
      <c r="I121" s="84"/>
      <c r="J121" s="8"/>
      <c r="K121" s="8"/>
      <c r="L121" s="8"/>
      <c r="M121" s="8"/>
    </row>
    <row r="122" spans="1:13" ht="18">
      <c r="A122" s="8"/>
      <c r="B122" s="8"/>
      <c r="C122" s="8"/>
      <c r="D122" s="8"/>
      <c r="E122" s="8"/>
      <c r="F122" s="8"/>
      <c r="G122" s="8"/>
      <c r="H122" s="8"/>
      <c r="I122" s="84"/>
      <c r="J122" s="8"/>
      <c r="K122" s="8"/>
      <c r="L122" s="8"/>
      <c r="M122" s="8"/>
    </row>
    <row r="123" spans="1:13" ht="18">
      <c r="A123" s="8"/>
      <c r="B123" s="8"/>
      <c r="C123" s="8"/>
      <c r="D123" s="8"/>
      <c r="E123" s="8"/>
      <c r="F123" s="8"/>
      <c r="G123" s="8"/>
      <c r="H123" s="8"/>
      <c r="I123" s="84"/>
      <c r="J123" s="8"/>
      <c r="K123" s="8"/>
      <c r="L123" s="8"/>
      <c r="M123" s="8"/>
    </row>
    <row r="124" spans="1:13" ht="18">
      <c r="A124" s="8"/>
      <c r="B124" s="8"/>
      <c r="C124" s="8"/>
      <c r="D124" s="8"/>
      <c r="E124" s="8"/>
      <c r="F124" s="8"/>
      <c r="G124" s="8"/>
      <c r="H124" s="8"/>
      <c r="I124" s="84"/>
      <c r="J124" s="8"/>
      <c r="K124" s="8"/>
      <c r="L124" s="8"/>
      <c r="M124" s="8"/>
    </row>
    <row r="125" spans="1:13" ht="18">
      <c r="A125" s="8"/>
      <c r="B125" s="8"/>
      <c r="C125" s="8"/>
      <c r="D125" s="8"/>
      <c r="E125" s="8"/>
      <c r="F125" s="8"/>
      <c r="G125" s="8"/>
      <c r="H125" s="8"/>
      <c r="I125" s="84"/>
      <c r="J125" s="8"/>
      <c r="K125" s="8"/>
      <c r="L125" s="8"/>
      <c r="M125" s="8"/>
    </row>
    <row r="126" spans="1:13" ht="18">
      <c r="A126" s="8"/>
      <c r="B126" s="8"/>
      <c r="C126" s="8"/>
      <c r="D126" s="8"/>
      <c r="E126" s="8"/>
      <c r="F126" s="8"/>
      <c r="G126" s="8"/>
      <c r="H126" s="8"/>
      <c r="I126" s="84"/>
      <c r="J126" s="8"/>
      <c r="K126" s="8"/>
      <c r="L126" s="8"/>
      <c r="M126" s="8"/>
    </row>
    <row r="127" spans="1:13" ht="18">
      <c r="A127" s="8"/>
      <c r="B127" s="8"/>
      <c r="C127" s="8"/>
      <c r="D127" s="8"/>
      <c r="E127" s="8"/>
      <c r="F127" s="8"/>
      <c r="G127" s="8"/>
      <c r="H127" s="8"/>
      <c r="I127" s="84"/>
      <c r="J127" s="8"/>
      <c r="K127" s="8"/>
      <c r="L127" s="8"/>
      <c r="M127" s="8"/>
    </row>
    <row r="128" spans="1:13" ht="18">
      <c r="A128" s="8"/>
      <c r="B128" s="8"/>
      <c r="C128" s="8"/>
      <c r="D128" s="8"/>
      <c r="E128" s="8"/>
      <c r="F128" s="8"/>
      <c r="G128" s="8"/>
      <c r="H128" s="8"/>
      <c r="I128" s="84"/>
      <c r="J128" s="8"/>
      <c r="K128" s="8"/>
      <c r="L128" s="8"/>
      <c r="M128" s="8"/>
    </row>
    <row r="129" spans="1:13" ht="18">
      <c r="A129" s="8"/>
      <c r="B129" s="8"/>
      <c r="C129" s="8"/>
      <c r="D129" s="8"/>
      <c r="E129" s="8"/>
      <c r="F129" s="8"/>
      <c r="G129" s="8"/>
      <c r="H129" s="8"/>
      <c r="I129" s="84"/>
      <c r="J129" s="8"/>
      <c r="K129" s="8"/>
      <c r="L129" s="8"/>
      <c r="M129" s="8"/>
    </row>
    <row r="130" spans="1:13" ht="18">
      <c r="A130" s="8"/>
      <c r="B130" s="8"/>
      <c r="C130" s="8"/>
      <c r="D130" s="8"/>
      <c r="E130" s="8"/>
      <c r="F130" s="8"/>
      <c r="G130" s="8"/>
      <c r="H130" s="8"/>
      <c r="I130" s="84"/>
      <c r="J130" s="8"/>
      <c r="K130" s="8"/>
      <c r="L130" s="8"/>
      <c r="M130" s="8"/>
    </row>
    <row r="131" spans="1:13" ht="18">
      <c r="A131" s="8"/>
      <c r="B131" s="8"/>
      <c r="C131" s="8"/>
      <c r="D131" s="8"/>
      <c r="E131" s="8"/>
      <c r="F131" s="8"/>
      <c r="G131" s="8"/>
      <c r="H131" s="8"/>
      <c r="I131" s="84"/>
      <c r="J131" s="8"/>
      <c r="K131" s="8"/>
      <c r="L131" s="8"/>
      <c r="M131" s="8"/>
    </row>
    <row r="132" spans="1:13" ht="18">
      <c r="A132" s="8"/>
      <c r="B132" s="8"/>
      <c r="C132" s="8"/>
      <c r="D132" s="8"/>
      <c r="E132" s="8"/>
      <c r="F132" s="8"/>
      <c r="G132" s="8"/>
      <c r="H132" s="8"/>
      <c r="I132" s="84"/>
      <c r="J132" s="8"/>
      <c r="K132" s="8"/>
      <c r="L132" s="8"/>
      <c r="M132" s="8"/>
    </row>
    <row r="133" spans="1:13" ht="18">
      <c r="A133" s="8"/>
      <c r="B133" s="8"/>
      <c r="C133" s="8"/>
      <c r="D133" s="8"/>
      <c r="E133" s="8"/>
      <c r="F133" s="8"/>
      <c r="G133" s="8"/>
      <c r="H133" s="8"/>
      <c r="I133" s="84"/>
      <c r="J133" s="8"/>
      <c r="K133" s="8"/>
      <c r="L133" s="8"/>
      <c r="M133" s="8"/>
    </row>
    <row r="134" spans="1:13" ht="18">
      <c r="A134" s="8"/>
      <c r="B134" s="8"/>
      <c r="C134" s="8"/>
      <c r="D134" s="8"/>
      <c r="E134" s="8"/>
      <c r="F134" s="8"/>
      <c r="G134" s="8"/>
      <c r="H134" s="8"/>
      <c r="I134" s="84"/>
      <c r="J134" s="8"/>
      <c r="K134" s="8"/>
      <c r="L134" s="8"/>
      <c r="M134" s="8"/>
    </row>
    <row r="135" spans="1:13" ht="18">
      <c r="A135" s="8"/>
      <c r="B135" s="8"/>
      <c r="C135" s="8"/>
      <c r="D135" s="8"/>
      <c r="E135" s="8"/>
      <c r="F135" s="8"/>
      <c r="G135" s="8"/>
      <c r="H135" s="8"/>
      <c r="I135" s="84"/>
      <c r="J135" s="8"/>
      <c r="K135" s="8"/>
      <c r="L135" s="8"/>
      <c r="M135" s="8"/>
    </row>
    <row r="136" spans="1:13" ht="18">
      <c r="A136" s="8"/>
      <c r="B136" s="8"/>
      <c r="C136" s="8"/>
      <c r="D136" s="8"/>
      <c r="E136" s="8"/>
      <c r="F136" s="8"/>
      <c r="G136" s="8"/>
      <c r="H136" s="8"/>
      <c r="I136" s="84"/>
      <c r="J136" s="8"/>
      <c r="K136" s="8"/>
      <c r="L136" s="8"/>
      <c r="M136" s="8"/>
    </row>
    <row r="137" spans="1:13" ht="18">
      <c r="A137" s="8"/>
      <c r="B137" s="8"/>
      <c r="C137" s="8"/>
      <c r="D137" s="8"/>
      <c r="E137" s="8"/>
      <c r="F137" s="8"/>
      <c r="G137" s="8"/>
      <c r="H137" s="8"/>
      <c r="I137" s="84"/>
      <c r="J137" s="8"/>
      <c r="K137" s="8"/>
      <c r="L137" s="8"/>
      <c r="M137" s="8"/>
    </row>
    <row r="138" spans="1:13" ht="18">
      <c r="A138" s="8"/>
      <c r="B138" s="8"/>
      <c r="C138" s="8"/>
      <c r="D138" s="8"/>
      <c r="E138" s="8"/>
      <c r="F138" s="8"/>
      <c r="G138" s="8"/>
      <c r="H138" s="8"/>
      <c r="I138" s="84"/>
      <c r="J138" s="8"/>
      <c r="K138" s="8"/>
      <c r="L138" s="8"/>
      <c r="M138" s="8"/>
    </row>
    <row r="139" spans="1:13" ht="18">
      <c r="A139" s="8"/>
      <c r="B139" s="8"/>
      <c r="C139" s="8"/>
      <c r="D139" s="8"/>
      <c r="E139" s="8"/>
      <c r="F139" s="8"/>
      <c r="G139" s="8"/>
      <c r="H139" s="8"/>
      <c r="I139" s="84"/>
      <c r="J139" s="8"/>
      <c r="K139" s="8"/>
      <c r="L139" s="8"/>
      <c r="M139" s="8"/>
    </row>
    <row r="140" spans="1:13" ht="18">
      <c r="A140" s="8"/>
      <c r="B140" s="8"/>
      <c r="C140" s="8"/>
      <c r="D140" s="8"/>
      <c r="E140" s="8"/>
      <c r="F140" s="8"/>
      <c r="G140" s="8"/>
      <c r="H140" s="8"/>
      <c r="I140" s="84"/>
      <c r="J140" s="8"/>
      <c r="K140" s="8"/>
      <c r="L140" s="8"/>
      <c r="M140" s="8"/>
    </row>
    <row r="141" spans="1:13" ht="18">
      <c r="A141" s="8"/>
      <c r="B141" s="8"/>
      <c r="C141" s="8"/>
      <c r="D141" s="8"/>
      <c r="E141" s="8"/>
      <c r="F141" s="8"/>
      <c r="G141" s="8"/>
      <c r="H141" s="8"/>
      <c r="I141" s="84"/>
      <c r="J141" s="8"/>
      <c r="K141" s="8"/>
      <c r="L141" s="8"/>
      <c r="M141" s="8"/>
    </row>
    <row r="142" spans="1:13" ht="18">
      <c r="A142" s="8"/>
      <c r="B142" s="8"/>
      <c r="C142" s="8"/>
      <c r="D142" s="8"/>
      <c r="E142" s="8"/>
      <c r="F142" s="8"/>
      <c r="G142" s="8"/>
      <c r="H142" s="8"/>
      <c r="I142" s="84"/>
      <c r="J142" s="8"/>
      <c r="K142" s="8"/>
      <c r="L142" s="8"/>
      <c r="M142" s="8"/>
    </row>
    <row r="143" spans="1:13" ht="18">
      <c r="A143" s="8"/>
      <c r="B143" s="8"/>
      <c r="C143" s="8"/>
      <c r="D143" s="8"/>
      <c r="E143" s="8"/>
      <c r="F143" s="8"/>
      <c r="G143" s="8"/>
      <c r="H143" s="8"/>
      <c r="I143" s="84"/>
      <c r="J143" s="8"/>
      <c r="K143" s="8"/>
      <c r="L143" s="8"/>
      <c r="M143" s="8"/>
    </row>
    <row r="144" spans="1:13" ht="18">
      <c r="A144" s="8"/>
      <c r="B144" s="8"/>
      <c r="C144" s="8"/>
      <c r="D144" s="8"/>
      <c r="E144" s="8"/>
      <c r="F144" s="8"/>
      <c r="G144" s="8"/>
      <c r="H144" s="8"/>
      <c r="I144" s="84"/>
      <c r="J144" s="8"/>
      <c r="K144" s="8"/>
      <c r="L144" s="8"/>
      <c r="M144" s="8"/>
    </row>
    <row r="145" spans="1:13" ht="18">
      <c r="A145" s="8"/>
      <c r="B145" s="8"/>
      <c r="C145" s="8"/>
      <c r="D145" s="8"/>
      <c r="E145" s="8"/>
      <c r="F145" s="8"/>
      <c r="G145" s="8"/>
      <c r="H145" s="8"/>
      <c r="I145" s="84"/>
      <c r="J145" s="8"/>
      <c r="K145" s="8"/>
      <c r="L145" s="8"/>
      <c r="M145" s="8"/>
    </row>
    <row r="146" spans="1:13" ht="18">
      <c r="A146" s="8"/>
      <c r="B146" s="8"/>
      <c r="C146" s="8"/>
      <c r="D146" s="8"/>
      <c r="E146" s="8"/>
      <c r="F146" s="8"/>
      <c r="G146" s="8"/>
      <c r="H146" s="8"/>
      <c r="I146" s="84"/>
      <c r="J146" s="8"/>
      <c r="K146" s="8"/>
      <c r="L146" s="8"/>
      <c r="M146" s="8"/>
    </row>
    <row r="147" spans="1:13" ht="18">
      <c r="A147" s="8"/>
      <c r="B147" s="8"/>
      <c r="C147" s="8"/>
      <c r="D147" s="8"/>
      <c r="E147" s="8"/>
      <c r="F147" s="8"/>
      <c r="G147" s="8"/>
      <c r="H147" s="8"/>
      <c r="I147" s="84"/>
      <c r="J147" s="8"/>
      <c r="K147" s="8"/>
      <c r="L147" s="8"/>
      <c r="M147" s="8"/>
    </row>
    <row r="148" spans="1:13" ht="18">
      <c r="A148" s="8"/>
      <c r="B148" s="8"/>
      <c r="C148" s="8"/>
      <c r="D148" s="8"/>
      <c r="E148" s="8"/>
      <c r="F148" s="8"/>
      <c r="G148" s="8"/>
      <c r="H148" s="8"/>
      <c r="I148" s="84"/>
      <c r="J148" s="8"/>
      <c r="K148" s="8"/>
      <c r="L148" s="8"/>
      <c r="M148" s="8"/>
    </row>
    <row r="149" spans="1:13" ht="18">
      <c r="A149" s="8"/>
      <c r="B149" s="8"/>
      <c r="C149" s="8"/>
      <c r="D149" s="8"/>
      <c r="E149" s="8"/>
      <c r="F149" s="8"/>
      <c r="G149" s="8"/>
      <c r="H149" s="8"/>
      <c r="I149" s="84"/>
      <c r="J149" s="8"/>
      <c r="K149" s="8"/>
      <c r="L149" s="8"/>
      <c r="M149" s="8"/>
    </row>
    <row r="150" spans="1:13" ht="18">
      <c r="A150" s="8"/>
      <c r="B150" s="8"/>
      <c r="C150" s="8"/>
      <c r="D150" s="8"/>
      <c r="E150" s="8"/>
      <c r="F150" s="8"/>
      <c r="G150" s="8"/>
      <c r="H150" s="8"/>
      <c r="I150" s="84"/>
      <c r="J150" s="8"/>
      <c r="K150" s="8"/>
      <c r="L150" s="8"/>
      <c r="M150" s="8"/>
    </row>
    <row r="151" spans="1:13" ht="18">
      <c r="A151" s="8"/>
      <c r="B151" s="8"/>
      <c r="C151" s="8"/>
      <c r="D151" s="8"/>
      <c r="E151" s="8"/>
      <c r="F151" s="8"/>
      <c r="G151" s="8"/>
      <c r="H151" s="8"/>
      <c r="I151" s="84"/>
      <c r="J151" s="8"/>
      <c r="K151" s="8"/>
      <c r="L151" s="8"/>
      <c r="M151" s="8"/>
    </row>
    <row r="152" spans="1:13" ht="18">
      <c r="A152" s="8"/>
      <c r="B152" s="8"/>
      <c r="C152" s="8"/>
      <c r="D152" s="8"/>
      <c r="E152" s="8"/>
      <c r="F152" s="8"/>
      <c r="G152" s="8"/>
      <c r="H152" s="8"/>
      <c r="I152" s="84"/>
      <c r="J152" s="8"/>
      <c r="K152" s="8"/>
      <c r="L152" s="8"/>
      <c r="M152" s="8"/>
    </row>
    <row r="153" spans="1:13" ht="18">
      <c r="A153" s="8"/>
      <c r="B153" s="8"/>
      <c r="C153" s="8"/>
      <c r="D153" s="8"/>
      <c r="E153" s="8"/>
      <c r="F153" s="8"/>
      <c r="G153" s="8"/>
      <c r="H153" s="8"/>
      <c r="I153" s="84"/>
      <c r="J153" s="8"/>
      <c r="K153" s="8"/>
      <c r="L153" s="8"/>
      <c r="M153" s="8"/>
    </row>
    <row r="154" spans="1:13" ht="18">
      <c r="A154" s="8"/>
      <c r="B154" s="8"/>
      <c r="C154" s="8"/>
      <c r="D154" s="8"/>
      <c r="E154" s="8"/>
      <c r="F154" s="8"/>
      <c r="G154" s="8"/>
      <c r="H154" s="8"/>
      <c r="I154" s="84"/>
      <c r="J154" s="8"/>
      <c r="K154" s="8"/>
      <c r="L154" s="8"/>
      <c r="M154" s="8"/>
    </row>
    <row r="155" spans="1:13" ht="18">
      <c r="A155" s="8"/>
      <c r="B155" s="8"/>
      <c r="C155" s="8"/>
      <c r="D155" s="8"/>
      <c r="E155" s="8"/>
      <c r="F155" s="8"/>
      <c r="G155" s="8"/>
      <c r="H155" s="8"/>
      <c r="I155" s="84"/>
      <c r="J155" s="8"/>
      <c r="K155" s="8"/>
      <c r="L155" s="8"/>
      <c r="M155" s="8"/>
    </row>
    <row r="156" spans="1:13" ht="18">
      <c r="A156" s="8"/>
      <c r="B156" s="8"/>
      <c r="C156" s="8"/>
      <c r="D156" s="8"/>
      <c r="E156" s="8"/>
      <c r="F156" s="8"/>
      <c r="G156" s="8"/>
      <c r="H156" s="8"/>
      <c r="I156" s="84"/>
      <c r="J156" s="8"/>
      <c r="K156" s="8"/>
      <c r="L156" s="8"/>
      <c r="M156" s="8"/>
    </row>
    <row r="157" spans="1:13" ht="18">
      <c r="A157" s="8"/>
      <c r="B157" s="8"/>
      <c r="C157" s="8"/>
      <c r="D157" s="8"/>
      <c r="E157" s="8"/>
      <c r="F157" s="8"/>
      <c r="G157" s="8"/>
      <c r="H157" s="8"/>
      <c r="I157" s="84"/>
      <c r="J157" s="8"/>
      <c r="K157" s="8"/>
      <c r="L157" s="8"/>
      <c r="M157" s="8"/>
    </row>
    <row r="158" spans="1:13" ht="18">
      <c r="A158" s="8"/>
      <c r="B158" s="8"/>
      <c r="C158" s="8"/>
      <c r="D158" s="8"/>
      <c r="E158" s="8"/>
      <c r="F158" s="8"/>
      <c r="G158" s="8"/>
      <c r="H158" s="8"/>
      <c r="I158" s="84"/>
      <c r="J158" s="8"/>
      <c r="K158" s="8"/>
      <c r="L158" s="8"/>
      <c r="M158" s="8"/>
    </row>
    <row r="159" spans="1:13" ht="18">
      <c r="A159" s="8"/>
      <c r="B159" s="8"/>
      <c r="C159" s="8"/>
      <c r="D159" s="8"/>
      <c r="E159" s="8"/>
      <c r="F159" s="8"/>
      <c r="G159" s="8"/>
      <c r="H159" s="8"/>
      <c r="I159" s="84"/>
      <c r="J159" s="8"/>
      <c r="K159" s="8"/>
      <c r="L159" s="8"/>
      <c r="M159" s="8"/>
    </row>
    <row r="160" spans="1:13" ht="18">
      <c r="A160" s="8"/>
      <c r="B160" s="8"/>
      <c r="C160" s="8"/>
      <c r="D160" s="8"/>
      <c r="E160" s="8"/>
      <c r="F160" s="8"/>
      <c r="G160" s="8"/>
      <c r="H160" s="8"/>
      <c r="I160" s="84"/>
      <c r="J160" s="8"/>
      <c r="K160" s="8"/>
      <c r="L160" s="8"/>
      <c r="M160" s="8"/>
    </row>
    <row r="161" spans="1:13" ht="18">
      <c r="A161" s="8"/>
      <c r="B161" s="8"/>
      <c r="C161" s="8"/>
      <c r="D161" s="8"/>
      <c r="E161" s="8"/>
      <c r="F161" s="8"/>
      <c r="G161" s="8"/>
      <c r="H161" s="8"/>
      <c r="I161" s="84"/>
      <c r="J161" s="8"/>
      <c r="K161" s="8"/>
      <c r="L161" s="8"/>
      <c r="M161" s="8"/>
    </row>
    <row r="162" spans="1:13" ht="18">
      <c r="A162" s="8"/>
      <c r="B162" s="8"/>
      <c r="C162" s="8"/>
      <c r="D162" s="8"/>
      <c r="E162" s="8"/>
      <c r="F162" s="8"/>
      <c r="G162" s="8"/>
      <c r="H162" s="8"/>
      <c r="I162" s="84"/>
      <c r="J162" s="8"/>
      <c r="K162" s="8"/>
      <c r="L162" s="8"/>
      <c r="M162" s="8"/>
    </row>
    <row r="163" spans="1:13" ht="18">
      <c r="A163" s="8"/>
      <c r="B163" s="8"/>
      <c r="C163" s="8"/>
      <c r="D163" s="8"/>
      <c r="E163" s="8"/>
      <c r="F163" s="8"/>
      <c r="G163" s="8"/>
      <c r="H163" s="8"/>
      <c r="I163" s="84"/>
      <c r="J163" s="8"/>
      <c r="K163" s="8"/>
      <c r="L163" s="8"/>
      <c r="M163" s="8"/>
    </row>
    <row r="164" spans="1:13" ht="18">
      <c r="A164" s="8"/>
      <c r="B164" s="8"/>
      <c r="C164" s="8"/>
      <c r="D164" s="8"/>
      <c r="E164" s="8"/>
      <c r="F164" s="8"/>
      <c r="G164" s="8"/>
      <c r="H164" s="8"/>
      <c r="I164" s="84"/>
      <c r="J164" s="8"/>
      <c r="K164" s="8"/>
      <c r="L164" s="8"/>
      <c r="M164" s="8"/>
    </row>
    <row r="165" spans="1:13" ht="18">
      <c r="A165" s="8"/>
      <c r="B165" s="8"/>
      <c r="C165" s="8"/>
      <c r="D165" s="8"/>
      <c r="E165" s="8"/>
      <c r="F165" s="8"/>
      <c r="G165" s="8"/>
      <c r="H165" s="8"/>
      <c r="I165" s="84"/>
      <c r="J165" s="8"/>
      <c r="K165" s="8"/>
      <c r="L165" s="8"/>
      <c r="M165" s="8"/>
    </row>
    <row r="166" spans="1:13" ht="18">
      <c r="A166" s="8"/>
      <c r="B166" s="8"/>
      <c r="C166" s="8"/>
      <c r="D166" s="8"/>
      <c r="E166" s="8"/>
      <c r="F166" s="8"/>
      <c r="G166" s="8"/>
      <c r="H166" s="8"/>
      <c r="I166" s="84"/>
      <c r="J166" s="8"/>
      <c r="K166" s="8"/>
      <c r="L166" s="8"/>
      <c r="M166" s="8"/>
    </row>
    <row r="167" spans="1:13" ht="18">
      <c r="A167" s="8"/>
      <c r="B167" s="8"/>
      <c r="C167" s="8"/>
      <c r="D167" s="8"/>
      <c r="E167" s="8"/>
      <c r="F167" s="8"/>
      <c r="G167" s="8"/>
      <c r="H167" s="8"/>
      <c r="I167" s="84"/>
      <c r="J167" s="8"/>
      <c r="K167" s="8"/>
      <c r="L167" s="8"/>
      <c r="M167" s="8"/>
    </row>
    <row r="168" spans="1:13" ht="18">
      <c r="A168" s="8"/>
      <c r="B168" s="8"/>
      <c r="C168" s="8"/>
      <c r="D168" s="8"/>
      <c r="E168" s="8"/>
      <c r="F168" s="8"/>
      <c r="G168" s="8"/>
      <c r="H168" s="8"/>
      <c r="I168" s="84"/>
      <c r="J168" s="8"/>
      <c r="K168" s="8"/>
      <c r="L168" s="8"/>
      <c r="M168" s="8"/>
    </row>
    <row r="169" spans="1:13" ht="18">
      <c r="A169" s="8"/>
      <c r="B169" s="8"/>
      <c r="C169" s="8"/>
      <c r="D169" s="8"/>
      <c r="E169" s="8"/>
      <c r="F169" s="8"/>
      <c r="G169" s="8"/>
      <c r="H169" s="8"/>
      <c r="I169" s="84"/>
      <c r="J169" s="8"/>
      <c r="K169" s="8"/>
      <c r="L169" s="8"/>
      <c r="M169" s="8"/>
    </row>
    <row r="170" spans="1:13" ht="18">
      <c r="A170" s="8"/>
      <c r="B170" s="8"/>
      <c r="C170" s="8"/>
      <c r="D170" s="8"/>
      <c r="E170" s="8"/>
      <c r="F170" s="8"/>
      <c r="G170" s="8"/>
      <c r="H170" s="8"/>
      <c r="I170" s="84"/>
      <c r="J170" s="8"/>
      <c r="K170" s="8"/>
      <c r="L170" s="8"/>
      <c r="M170" s="8"/>
    </row>
    <row r="171" spans="1:13" ht="18">
      <c r="A171" s="8"/>
      <c r="B171" s="8"/>
      <c r="C171" s="8"/>
      <c r="D171" s="8"/>
      <c r="E171" s="8"/>
      <c r="F171" s="8"/>
      <c r="G171" s="8"/>
      <c r="H171" s="8"/>
      <c r="I171" s="84"/>
      <c r="J171" s="8"/>
      <c r="K171" s="8"/>
      <c r="L171" s="8"/>
      <c r="M171" s="8"/>
    </row>
    <row r="172" spans="1:13" ht="18">
      <c r="A172" s="8"/>
      <c r="B172" s="8"/>
      <c r="C172" s="8"/>
      <c r="D172" s="8"/>
      <c r="E172" s="8"/>
      <c r="F172" s="8"/>
      <c r="G172" s="8"/>
      <c r="H172" s="8"/>
      <c r="I172" s="84"/>
      <c r="J172" s="8"/>
      <c r="K172" s="8"/>
      <c r="L172" s="8"/>
      <c r="M172" s="8"/>
    </row>
    <row r="173" spans="1:13" ht="18">
      <c r="A173" s="8"/>
      <c r="B173" s="8"/>
      <c r="C173" s="8"/>
      <c r="D173" s="8"/>
      <c r="E173" s="8"/>
      <c r="F173" s="8"/>
      <c r="G173" s="8"/>
      <c r="H173" s="8"/>
      <c r="I173" s="84"/>
      <c r="J173" s="8"/>
      <c r="K173" s="8"/>
      <c r="L173" s="8"/>
      <c r="M173" s="8"/>
    </row>
    <row r="174" spans="1:13" ht="18">
      <c r="A174" s="8"/>
      <c r="B174" s="8"/>
      <c r="C174" s="8"/>
      <c r="D174" s="8"/>
      <c r="E174" s="8"/>
      <c r="F174" s="8"/>
      <c r="G174" s="8"/>
      <c r="H174" s="8"/>
      <c r="I174" s="84"/>
      <c r="J174" s="8"/>
      <c r="K174" s="8"/>
      <c r="L174" s="8"/>
      <c r="M174" s="8"/>
    </row>
    <row r="175" spans="1:13" ht="18">
      <c r="A175" s="8"/>
      <c r="B175" s="8"/>
      <c r="C175" s="8"/>
      <c r="D175" s="8"/>
      <c r="E175" s="8"/>
      <c r="F175" s="8"/>
      <c r="G175" s="8"/>
      <c r="H175" s="8"/>
      <c r="I175" s="84"/>
      <c r="J175" s="8"/>
      <c r="K175" s="8"/>
      <c r="L175" s="8"/>
      <c r="M175" s="8"/>
    </row>
    <row r="176" spans="1:13" ht="18">
      <c r="A176" s="8"/>
      <c r="B176" s="8"/>
      <c r="C176" s="8"/>
      <c r="D176" s="8"/>
      <c r="E176" s="8"/>
      <c r="F176" s="8"/>
      <c r="G176" s="8"/>
      <c r="H176" s="8"/>
      <c r="I176" s="84"/>
      <c r="J176" s="8"/>
      <c r="K176" s="8"/>
      <c r="L176" s="8"/>
      <c r="M176" s="8"/>
    </row>
    <row r="177" spans="1:13" ht="18">
      <c r="A177" s="8"/>
      <c r="B177" s="8"/>
      <c r="C177" s="8"/>
      <c r="D177" s="8"/>
      <c r="E177" s="8"/>
      <c r="F177" s="8"/>
      <c r="G177" s="8"/>
      <c r="H177" s="8"/>
      <c r="I177" s="84"/>
      <c r="J177" s="8"/>
      <c r="K177" s="8"/>
      <c r="L177" s="8"/>
      <c r="M177" s="8"/>
    </row>
    <row r="178" spans="1:13" ht="18">
      <c r="A178" s="8"/>
      <c r="B178" s="8"/>
      <c r="C178" s="8"/>
      <c r="D178" s="8"/>
      <c r="E178" s="8"/>
      <c r="F178" s="8"/>
      <c r="G178" s="8"/>
      <c r="H178" s="8"/>
      <c r="I178" s="84"/>
      <c r="J178" s="8"/>
      <c r="K178" s="8"/>
      <c r="L178" s="8"/>
      <c r="M178" s="8"/>
    </row>
    <row r="179" spans="1:13" ht="18">
      <c r="A179" s="8"/>
      <c r="B179" s="8"/>
      <c r="C179" s="8"/>
      <c r="D179" s="8"/>
      <c r="E179" s="8"/>
      <c r="F179" s="8"/>
      <c r="G179" s="8"/>
      <c r="H179" s="8"/>
      <c r="I179" s="84"/>
      <c r="J179" s="8"/>
      <c r="K179" s="8"/>
      <c r="L179" s="8"/>
      <c r="M179" s="8"/>
    </row>
    <row r="180" spans="1:13" ht="18">
      <c r="A180" s="8"/>
      <c r="B180" s="8"/>
      <c r="C180" s="8"/>
      <c r="D180" s="8"/>
      <c r="E180" s="8"/>
      <c r="F180" s="8"/>
      <c r="G180" s="8"/>
      <c r="H180" s="8"/>
      <c r="I180" s="84"/>
      <c r="J180" s="8"/>
      <c r="K180" s="8"/>
      <c r="L180" s="8"/>
      <c r="M180" s="8"/>
    </row>
    <row r="181" spans="1:13" ht="18">
      <c r="A181" s="8"/>
      <c r="B181" s="8"/>
      <c r="C181" s="8"/>
      <c r="D181" s="8"/>
      <c r="E181" s="8"/>
      <c r="F181" s="8"/>
      <c r="G181" s="8"/>
      <c r="H181" s="8"/>
      <c r="I181" s="84"/>
      <c r="J181" s="8"/>
      <c r="K181" s="8"/>
      <c r="L181" s="8"/>
      <c r="M181" s="8"/>
    </row>
    <row r="182" spans="1:13" ht="18">
      <c r="A182" s="8"/>
      <c r="B182" s="8"/>
      <c r="C182" s="8"/>
      <c r="D182" s="8"/>
      <c r="E182" s="8"/>
      <c r="F182" s="8"/>
      <c r="G182" s="8"/>
      <c r="H182" s="8"/>
      <c r="I182" s="84"/>
      <c r="J182" s="8"/>
      <c r="K182" s="8"/>
      <c r="L182" s="8"/>
      <c r="M182" s="8"/>
    </row>
    <row r="183" spans="1:13" ht="18">
      <c r="A183" s="8"/>
      <c r="B183" s="8"/>
      <c r="C183" s="8"/>
      <c r="D183" s="8"/>
      <c r="E183" s="8"/>
      <c r="F183" s="8"/>
      <c r="G183" s="8"/>
      <c r="H183" s="8"/>
      <c r="I183" s="84"/>
      <c r="J183" s="8"/>
      <c r="K183" s="8"/>
      <c r="L183" s="8"/>
      <c r="M183" s="8"/>
    </row>
    <row r="184" spans="1:13" ht="18">
      <c r="A184" s="8"/>
      <c r="B184" s="8"/>
      <c r="C184" s="8"/>
      <c r="D184" s="8"/>
      <c r="E184" s="8"/>
      <c r="F184" s="8"/>
      <c r="G184" s="8"/>
      <c r="H184" s="8"/>
      <c r="I184" s="84"/>
      <c r="J184" s="8"/>
      <c r="K184" s="8"/>
      <c r="L184" s="8"/>
      <c r="M184" s="8"/>
    </row>
    <row r="185" spans="1:13" ht="18">
      <c r="A185" s="8"/>
      <c r="B185" s="8"/>
      <c r="C185" s="8"/>
      <c r="D185" s="8"/>
      <c r="E185" s="8"/>
      <c r="F185" s="8"/>
      <c r="G185" s="8"/>
      <c r="H185" s="8"/>
      <c r="I185" s="84"/>
      <c r="J185" s="8"/>
      <c r="K185" s="8"/>
      <c r="L185" s="8"/>
      <c r="M185" s="8"/>
    </row>
    <row r="186" spans="1:13" ht="18">
      <c r="A186" s="8"/>
      <c r="B186" s="8"/>
      <c r="C186" s="8"/>
      <c r="D186" s="8"/>
      <c r="E186" s="8"/>
      <c r="F186" s="8"/>
      <c r="G186" s="8"/>
      <c r="H186" s="8"/>
      <c r="I186" s="84"/>
      <c r="J186" s="8"/>
      <c r="K186" s="8"/>
      <c r="L186" s="8"/>
      <c r="M186" s="8"/>
    </row>
    <row r="187" spans="1:13" ht="18">
      <c r="A187" s="8"/>
      <c r="B187" s="8"/>
      <c r="C187" s="8"/>
      <c r="D187" s="8"/>
      <c r="E187" s="8"/>
      <c r="F187" s="8"/>
      <c r="G187" s="8"/>
      <c r="H187" s="8"/>
      <c r="I187" s="84"/>
      <c r="J187" s="8"/>
      <c r="K187" s="8"/>
      <c r="L187" s="8"/>
      <c r="M187" s="8"/>
    </row>
    <row r="188" spans="1:13" ht="18">
      <c r="A188" s="8"/>
      <c r="B188" s="8"/>
      <c r="C188" s="8"/>
      <c r="D188" s="8"/>
      <c r="E188" s="8"/>
      <c r="F188" s="8"/>
      <c r="G188" s="8"/>
      <c r="H188" s="8"/>
      <c r="I188" s="84"/>
      <c r="J188" s="8"/>
      <c r="K188" s="8"/>
      <c r="L188" s="8"/>
      <c r="M188" s="8"/>
    </row>
    <row r="189" spans="1:13" ht="18">
      <c r="A189" s="8"/>
      <c r="B189" s="8"/>
      <c r="C189" s="8"/>
      <c r="D189" s="8"/>
      <c r="E189" s="8"/>
      <c r="F189" s="8"/>
      <c r="G189" s="8"/>
      <c r="H189" s="8"/>
      <c r="I189" s="84"/>
      <c r="J189" s="8"/>
      <c r="K189" s="8"/>
      <c r="L189" s="8"/>
      <c r="M189" s="8"/>
    </row>
    <row r="190" spans="1:13" ht="18">
      <c r="A190" s="8"/>
      <c r="B190" s="8"/>
      <c r="C190" s="8"/>
      <c r="D190" s="8"/>
      <c r="E190" s="8"/>
      <c r="F190" s="8"/>
      <c r="G190" s="8"/>
      <c r="H190" s="8"/>
      <c r="I190" s="84"/>
      <c r="J190" s="8"/>
      <c r="K190" s="8"/>
      <c r="L190" s="8"/>
      <c r="M190" s="8"/>
    </row>
    <row r="191" spans="1:13" ht="18">
      <c r="A191" s="8"/>
      <c r="B191" s="8"/>
      <c r="C191" s="8"/>
      <c r="D191" s="8"/>
      <c r="E191" s="8"/>
      <c r="F191" s="8"/>
      <c r="G191" s="8"/>
      <c r="H191" s="8"/>
      <c r="I191" s="84"/>
      <c r="J191" s="8"/>
      <c r="K191" s="8"/>
      <c r="L191" s="8"/>
      <c r="M191" s="8"/>
    </row>
    <row r="192" spans="1:13" ht="18">
      <c r="A192" s="8"/>
      <c r="B192" s="8"/>
      <c r="C192" s="8"/>
      <c r="D192" s="8"/>
      <c r="E192" s="8"/>
      <c r="F192" s="8"/>
      <c r="G192" s="8"/>
      <c r="H192" s="8"/>
      <c r="I192" s="84"/>
      <c r="J192" s="8"/>
      <c r="K192" s="8"/>
      <c r="L192" s="8"/>
      <c r="M192" s="8"/>
    </row>
    <row r="193" spans="1:13" ht="18">
      <c r="A193" s="8"/>
      <c r="B193" s="8"/>
      <c r="C193" s="8"/>
      <c r="D193" s="8"/>
      <c r="E193" s="8"/>
      <c r="F193" s="8"/>
      <c r="G193" s="8"/>
      <c r="H193" s="8"/>
      <c r="I193" s="84"/>
      <c r="J193" s="8"/>
      <c r="K193" s="8"/>
      <c r="L193" s="8"/>
      <c r="M193" s="8"/>
    </row>
    <row r="194" spans="1:13" ht="18">
      <c r="A194" s="8"/>
      <c r="B194" s="8"/>
      <c r="C194" s="8"/>
      <c r="D194" s="8"/>
      <c r="E194" s="8"/>
      <c r="F194" s="8"/>
      <c r="G194" s="8"/>
      <c r="H194" s="8"/>
      <c r="I194" s="84"/>
      <c r="J194" s="8"/>
      <c r="K194" s="8"/>
      <c r="L194" s="8"/>
      <c r="M194" s="8"/>
    </row>
    <row r="195" spans="1:13" ht="18">
      <c r="A195" s="8"/>
      <c r="B195" s="8"/>
      <c r="C195" s="8"/>
      <c r="D195" s="8"/>
      <c r="E195" s="8"/>
      <c r="F195" s="8"/>
      <c r="G195" s="8"/>
      <c r="H195" s="8"/>
      <c r="I195" s="84"/>
      <c r="J195" s="8"/>
      <c r="K195" s="8"/>
      <c r="L195" s="8"/>
      <c r="M195" s="8"/>
    </row>
    <row r="196" spans="1:13" ht="18">
      <c r="A196" s="8"/>
      <c r="B196" s="8"/>
      <c r="C196" s="8"/>
      <c r="D196" s="8"/>
      <c r="E196" s="8"/>
      <c r="F196" s="8"/>
      <c r="G196" s="8"/>
      <c r="H196" s="8"/>
      <c r="I196" s="84"/>
      <c r="J196" s="8"/>
      <c r="K196" s="8"/>
      <c r="L196" s="8"/>
      <c r="M196" s="8"/>
    </row>
    <row r="197" spans="1:13" ht="18">
      <c r="A197" s="8"/>
      <c r="B197" s="8"/>
      <c r="C197" s="8"/>
      <c r="D197" s="8"/>
      <c r="E197" s="8"/>
      <c r="F197" s="8"/>
      <c r="G197" s="8"/>
      <c r="H197" s="8"/>
      <c r="I197" s="84"/>
      <c r="J197" s="8"/>
      <c r="K197" s="8"/>
      <c r="L197" s="8"/>
      <c r="M197" s="8"/>
    </row>
    <row r="198" spans="1:13" ht="18">
      <c r="A198" s="8"/>
      <c r="B198" s="8"/>
      <c r="C198" s="8"/>
      <c r="D198" s="8"/>
      <c r="E198" s="8"/>
      <c r="F198" s="8"/>
      <c r="G198" s="8"/>
      <c r="H198" s="8"/>
      <c r="I198" s="84"/>
      <c r="J198" s="8"/>
      <c r="K198" s="8"/>
      <c r="L198" s="8"/>
      <c r="M198" s="8"/>
    </row>
    <row r="199" spans="1:13" ht="18">
      <c r="A199" s="8"/>
      <c r="B199" s="8"/>
      <c r="C199" s="8"/>
      <c r="D199" s="8"/>
      <c r="E199" s="8"/>
      <c r="F199" s="8"/>
      <c r="G199" s="8"/>
      <c r="H199" s="8"/>
      <c r="I199" s="84"/>
      <c r="J199" s="8"/>
      <c r="K199" s="8"/>
      <c r="L199" s="8"/>
      <c r="M199" s="8"/>
    </row>
    <row r="200" spans="1:13" ht="18">
      <c r="A200" s="8"/>
      <c r="B200" s="8"/>
      <c r="C200" s="8"/>
      <c r="D200" s="8"/>
      <c r="E200" s="8"/>
      <c r="F200" s="8"/>
      <c r="G200" s="8"/>
      <c r="H200" s="8"/>
      <c r="I200" s="84"/>
      <c r="J200" s="8"/>
      <c r="K200" s="8"/>
      <c r="L200" s="8"/>
      <c r="M200" s="8"/>
    </row>
    <row r="201" spans="1:13" ht="18">
      <c r="A201" s="8"/>
      <c r="B201" s="8"/>
      <c r="C201" s="8"/>
      <c r="D201" s="8"/>
      <c r="E201" s="8"/>
      <c r="F201" s="8"/>
      <c r="G201" s="8"/>
      <c r="H201" s="8"/>
      <c r="I201" s="84"/>
      <c r="J201" s="8"/>
      <c r="K201" s="8"/>
      <c r="L201" s="8"/>
      <c r="M201" s="8"/>
    </row>
  </sheetData>
  <mergeCells count="8">
    <mergeCell ref="A6:I6"/>
    <mergeCell ref="A7:H7"/>
    <mergeCell ref="A1:E5"/>
    <mergeCell ref="F1:K1"/>
    <mergeCell ref="F2:K2"/>
    <mergeCell ref="F3:K3"/>
    <mergeCell ref="F4:K4"/>
    <mergeCell ref="F5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</sheetPr>
  <dimension ref="A1:I201"/>
  <sheetViews>
    <sheetView workbookViewId="0"/>
  </sheetViews>
  <sheetFormatPr defaultRowHeight="12.75"/>
  <cols>
    <col min="1" max="1" width="11.5703125" customWidth="1"/>
    <col min="2" max="2" width="16.28515625" customWidth="1"/>
    <col min="3" max="3" width="21" customWidth="1"/>
    <col min="4" max="4" width="19.7109375" customWidth="1"/>
    <col min="5" max="5" width="11.5703125" customWidth="1"/>
    <col min="6" max="6" width="16.5703125" customWidth="1"/>
    <col min="7" max="7" width="11.5703125" customWidth="1"/>
    <col min="8" max="8" width="32.42578125" customWidth="1"/>
    <col min="9" max="9" width="12.28515625" customWidth="1"/>
    <col min="10" max="11" width="11.5703125" customWidth="1"/>
  </cols>
  <sheetData>
    <row r="1" spans="1:9" ht="15.75">
      <c r="I1" s="18"/>
    </row>
    <row r="2" spans="1:9" ht="15.75">
      <c r="I2" s="18"/>
    </row>
    <row r="3" spans="1:9" ht="15.75">
      <c r="I3" s="18"/>
    </row>
    <row r="4" spans="1:9" ht="15.75">
      <c r="I4" s="18"/>
    </row>
    <row r="5" spans="1:9" ht="15.75">
      <c r="I5" s="18"/>
    </row>
    <row r="6" spans="1:9" ht="15.75">
      <c r="I6" s="18"/>
    </row>
    <row r="7" spans="1:9" ht="15.75">
      <c r="A7" s="106" t="s">
        <v>39</v>
      </c>
      <c r="B7" s="111"/>
      <c r="C7" s="111"/>
      <c r="D7" s="111"/>
      <c r="E7" s="111"/>
      <c r="F7" s="111"/>
      <c r="G7" s="112"/>
      <c r="H7" s="9" t="s">
        <v>40</v>
      </c>
      <c r="I7" s="18"/>
    </row>
    <row r="8" spans="1:9" ht="15.75">
      <c r="A8" s="4" t="s">
        <v>1</v>
      </c>
      <c r="B8" s="4" t="s">
        <v>41</v>
      </c>
      <c r="C8" s="4" t="s">
        <v>42</v>
      </c>
      <c r="D8" s="4" t="s">
        <v>43</v>
      </c>
      <c r="E8" s="4" t="s">
        <v>44</v>
      </c>
      <c r="F8" s="4" t="s">
        <v>45</v>
      </c>
      <c r="G8" s="4" t="s">
        <v>46</v>
      </c>
      <c r="H8" s="4" t="s">
        <v>47</v>
      </c>
      <c r="I8" s="18"/>
    </row>
    <row r="9" spans="1:9" ht="15.75">
      <c r="A9" s="4">
        <v>1</v>
      </c>
      <c r="B9" s="4" t="s">
        <v>10</v>
      </c>
      <c r="C9" s="19">
        <v>33.4</v>
      </c>
      <c r="D9" s="19">
        <v>4</v>
      </c>
      <c r="E9" s="19">
        <v>6</v>
      </c>
      <c r="F9" s="19">
        <v>15</v>
      </c>
      <c r="G9" s="19">
        <v>263</v>
      </c>
      <c r="H9" s="5" t="s">
        <v>48</v>
      </c>
      <c r="I9" s="18"/>
    </row>
    <row r="10" spans="1:9" ht="15.75">
      <c r="A10" s="4">
        <v>2</v>
      </c>
      <c r="B10" s="4" t="s">
        <v>10</v>
      </c>
      <c r="C10" s="19">
        <v>89</v>
      </c>
      <c r="D10" s="19">
        <v>6</v>
      </c>
      <c r="E10" s="19">
        <v>6</v>
      </c>
      <c r="F10" s="19">
        <v>32</v>
      </c>
      <c r="G10" s="19">
        <v>2300</v>
      </c>
      <c r="H10" s="5" t="s">
        <v>48</v>
      </c>
      <c r="I10" s="18"/>
    </row>
    <row r="11" spans="1:9" ht="15.75">
      <c r="A11" s="4">
        <v>3</v>
      </c>
      <c r="B11" s="4" t="s">
        <v>10</v>
      </c>
      <c r="C11" s="19">
        <v>108</v>
      </c>
      <c r="D11" s="19">
        <v>4</v>
      </c>
      <c r="E11" s="19" t="s">
        <v>28</v>
      </c>
      <c r="F11" s="19">
        <v>61</v>
      </c>
      <c r="G11" s="19">
        <v>3616</v>
      </c>
      <c r="H11" s="5" t="s">
        <v>48</v>
      </c>
      <c r="I11" s="18"/>
    </row>
    <row r="12" spans="1:9" ht="15.75">
      <c r="A12" s="4">
        <v>4</v>
      </c>
      <c r="B12" s="4" t="s">
        <v>10</v>
      </c>
      <c r="C12" s="19">
        <v>108</v>
      </c>
      <c r="D12" s="19">
        <v>4</v>
      </c>
      <c r="E12" s="19">
        <v>6</v>
      </c>
      <c r="F12" s="19">
        <v>9</v>
      </c>
      <c r="G12" s="19">
        <v>545</v>
      </c>
      <c r="H12" s="5" t="s">
        <v>48</v>
      </c>
      <c r="I12" s="18"/>
    </row>
    <row r="13" spans="1:9" ht="15.75">
      <c r="A13" s="4">
        <v>5</v>
      </c>
      <c r="B13" s="4" t="s">
        <v>10</v>
      </c>
      <c r="C13" s="19">
        <v>108</v>
      </c>
      <c r="D13" s="19">
        <v>5</v>
      </c>
      <c r="E13" s="19">
        <v>6</v>
      </c>
      <c r="F13" s="19">
        <v>13</v>
      </c>
      <c r="G13" s="19">
        <v>985</v>
      </c>
      <c r="H13" s="5" t="s">
        <v>48</v>
      </c>
      <c r="I13" s="18"/>
    </row>
    <row r="14" spans="1:9" ht="15.75">
      <c r="A14" s="4">
        <v>6</v>
      </c>
      <c r="B14" s="4" t="s">
        <v>10</v>
      </c>
      <c r="C14" s="19">
        <v>108</v>
      </c>
      <c r="D14" s="19">
        <v>5</v>
      </c>
      <c r="E14" s="19" t="s">
        <v>28</v>
      </c>
      <c r="F14" s="19">
        <v>8</v>
      </c>
      <c r="G14" s="19">
        <v>577</v>
      </c>
      <c r="H14" s="5" t="s">
        <v>48</v>
      </c>
      <c r="I14" s="18"/>
    </row>
    <row r="15" spans="1:9" ht="15.75">
      <c r="A15" s="4">
        <v>7</v>
      </c>
      <c r="B15" s="4" t="s">
        <v>10</v>
      </c>
      <c r="C15" s="19">
        <v>108</v>
      </c>
      <c r="D15" s="19">
        <v>6</v>
      </c>
      <c r="E15" s="19">
        <v>5.61</v>
      </c>
      <c r="F15" s="19">
        <v>1</v>
      </c>
      <c r="G15" s="19">
        <v>85</v>
      </c>
      <c r="H15" s="5" t="s">
        <v>48</v>
      </c>
      <c r="I15" s="18"/>
    </row>
    <row r="16" spans="1:9" ht="15.75">
      <c r="A16" s="4">
        <v>8</v>
      </c>
      <c r="B16" s="4" t="s">
        <v>10</v>
      </c>
      <c r="C16" s="19">
        <v>108</v>
      </c>
      <c r="D16" s="19">
        <v>6</v>
      </c>
      <c r="E16" s="19">
        <v>6</v>
      </c>
      <c r="F16" s="19">
        <v>25</v>
      </c>
      <c r="G16" s="19">
        <v>2208</v>
      </c>
      <c r="H16" s="5" t="s">
        <v>48</v>
      </c>
      <c r="I16" s="18" t="s">
        <v>49</v>
      </c>
    </row>
    <row r="17" spans="1:9" ht="15.75">
      <c r="A17" s="4">
        <v>9</v>
      </c>
      <c r="B17" s="4" t="s">
        <v>10</v>
      </c>
      <c r="C17" s="19">
        <v>159</v>
      </c>
      <c r="D17" s="19">
        <v>4</v>
      </c>
      <c r="E17" s="19" t="s">
        <v>28</v>
      </c>
      <c r="F17" s="19">
        <v>28</v>
      </c>
      <c r="G17" s="19">
        <v>2428</v>
      </c>
      <c r="H17" s="5" t="s">
        <v>48</v>
      </c>
      <c r="I17" s="18"/>
    </row>
    <row r="18" spans="1:9" ht="15.75">
      <c r="A18" s="4">
        <v>10</v>
      </c>
      <c r="B18" s="4" t="s">
        <v>10</v>
      </c>
      <c r="C18" s="19">
        <v>159</v>
      </c>
      <c r="D18" s="19">
        <v>5</v>
      </c>
      <c r="E18" s="19" t="s">
        <v>28</v>
      </c>
      <c r="F18" s="19">
        <v>25</v>
      </c>
      <c r="G18" s="19">
        <v>2768</v>
      </c>
      <c r="H18" s="5" t="s">
        <v>48</v>
      </c>
      <c r="I18" s="18"/>
    </row>
    <row r="19" spans="1:9" ht="15.75">
      <c r="A19" s="4">
        <v>11</v>
      </c>
      <c r="B19" s="4" t="s">
        <v>10</v>
      </c>
      <c r="C19" s="19">
        <v>159</v>
      </c>
      <c r="D19" s="19">
        <v>5</v>
      </c>
      <c r="E19" s="19">
        <v>6</v>
      </c>
      <c r="F19" s="19">
        <v>9</v>
      </c>
      <c r="G19" s="19">
        <v>990</v>
      </c>
      <c r="H19" s="5" t="s">
        <v>48</v>
      </c>
      <c r="I19" s="18"/>
    </row>
    <row r="20" spans="1:9" ht="15.75">
      <c r="A20" s="4">
        <v>12</v>
      </c>
      <c r="B20" s="4" t="s">
        <v>10</v>
      </c>
      <c r="C20" s="19">
        <v>159</v>
      </c>
      <c r="D20" s="19">
        <v>8</v>
      </c>
      <c r="E20" s="19">
        <v>6</v>
      </c>
      <c r="F20" s="19">
        <v>8</v>
      </c>
      <c r="G20" s="19">
        <v>1408</v>
      </c>
      <c r="H20" s="5" t="s">
        <v>48</v>
      </c>
      <c r="I20" s="18" t="s">
        <v>49</v>
      </c>
    </row>
    <row r="21" spans="1:9" ht="15.75">
      <c r="A21" s="4">
        <v>13</v>
      </c>
      <c r="B21" s="4" t="s">
        <v>10</v>
      </c>
      <c r="C21" s="19">
        <v>168</v>
      </c>
      <c r="D21" s="19">
        <v>7</v>
      </c>
      <c r="E21" s="19">
        <v>5.87</v>
      </c>
      <c r="F21" s="19">
        <v>1</v>
      </c>
      <c r="G21" s="19">
        <v>171</v>
      </c>
      <c r="H21" s="5" t="s">
        <v>48</v>
      </c>
      <c r="I21" s="18"/>
    </row>
    <row r="22" spans="1:9" ht="15.75">
      <c r="A22" s="4">
        <v>14</v>
      </c>
      <c r="B22" s="4" t="s">
        <v>10</v>
      </c>
      <c r="C22" s="19">
        <v>219</v>
      </c>
      <c r="D22" s="19">
        <v>8</v>
      </c>
      <c r="E22" s="19" t="s">
        <v>28</v>
      </c>
      <c r="F22" s="19">
        <v>5</v>
      </c>
      <c r="G22" s="19">
        <v>1233</v>
      </c>
      <c r="H22" s="5" t="s">
        <v>48</v>
      </c>
      <c r="I22" s="18"/>
    </row>
    <row r="23" spans="1:9" ht="15.75">
      <c r="A23" s="4">
        <v>15</v>
      </c>
      <c r="B23" s="4" t="s">
        <v>10</v>
      </c>
      <c r="C23" s="19">
        <v>273</v>
      </c>
      <c r="D23" s="19">
        <v>9</v>
      </c>
      <c r="E23" s="19">
        <v>5.62</v>
      </c>
      <c r="F23" s="19">
        <v>1</v>
      </c>
      <c r="G23" s="19">
        <v>342</v>
      </c>
      <c r="H23" s="5" t="s">
        <v>48</v>
      </c>
      <c r="I23" s="18"/>
    </row>
    <row r="24" spans="1:9" ht="15.75">
      <c r="A24" s="4">
        <v>16</v>
      </c>
      <c r="B24" s="4" t="s">
        <v>10</v>
      </c>
      <c r="C24" s="19">
        <v>325</v>
      </c>
      <c r="D24" s="19">
        <v>8</v>
      </c>
      <c r="E24" s="19" t="s">
        <v>28</v>
      </c>
      <c r="F24" s="19">
        <v>2</v>
      </c>
      <c r="G24" s="19">
        <v>771</v>
      </c>
      <c r="H24" s="5" t="s">
        <v>48</v>
      </c>
      <c r="I24" s="18"/>
    </row>
    <row r="25" spans="1:9" ht="15.75">
      <c r="A25" s="4">
        <v>17</v>
      </c>
      <c r="B25" s="4" t="s">
        <v>10</v>
      </c>
      <c r="C25" s="19">
        <v>325</v>
      </c>
      <c r="D25" s="19">
        <v>8</v>
      </c>
      <c r="E25" s="19">
        <v>6</v>
      </c>
      <c r="F25" s="19">
        <v>2</v>
      </c>
      <c r="G25" s="19">
        <v>758</v>
      </c>
      <c r="H25" s="5" t="s">
        <v>48</v>
      </c>
      <c r="I25" s="18"/>
    </row>
    <row r="26" spans="1:9" ht="15.75">
      <c r="A26" s="4">
        <v>18</v>
      </c>
      <c r="B26" s="4" t="s">
        <v>10</v>
      </c>
      <c r="C26" s="19">
        <v>325</v>
      </c>
      <c r="D26" s="19">
        <v>10</v>
      </c>
      <c r="E26" s="19">
        <v>6</v>
      </c>
      <c r="F26" s="19">
        <v>3</v>
      </c>
      <c r="G26" s="19">
        <v>1388</v>
      </c>
      <c r="H26" s="5" t="s">
        <v>48</v>
      </c>
      <c r="I26" s="18"/>
    </row>
    <row r="27" spans="1:9" ht="15.75">
      <c r="A27" s="4">
        <v>19</v>
      </c>
      <c r="B27" s="4" t="s">
        <v>10</v>
      </c>
      <c r="C27" s="19">
        <v>325</v>
      </c>
      <c r="D27" s="19">
        <v>12</v>
      </c>
      <c r="E27" s="19">
        <v>5.62</v>
      </c>
      <c r="F27" s="19">
        <v>1</v>
      </c>
      <c r="G27" s="19">
        <v>518</v>
      </c>
      <c r="H27" s="5" t="s">
        <v>48</v>
      </c>
      <c r="I27" s="18"/>
    </row>
    <row r="28" spans="1:9" ht="15.75">
      <c r="A28" s="4">
        <v>20</v>
      </c>
      <c r="B28" s="4" t="s">
        <v>10</v>
      </c>
      <c r="C28" s="19">
        <v>325</v>
      </c>
      <c r="D28" s="19">
        <v>12</v>
      </c>
      <c r="E28" s="19">
        <v>6</v>
      </c>
      <c r="F28" s="19">
        <v>3</v>
      </c>
      <c r="G28" s="19">
        <v>1593</v>
      </c>
      <c r="H28" s="5" t="s">
        <v>48</v>
      </c>
      <c r="I28" s="18"/>
    </row>
    <row r="29" spans="1:9" ht="15.75">
      <c r="A29" s="4">
        <v>21</v>
      </c>
      <c r="B29" s="4" t="s">
        <v>10</v>
      </c>
      <c r="C29" s="19">
        <v>426</v>
      </c>
      <c r="D29" s="19">
        <v>10</v>
      </c>
      <c r="E29" s="19">
        <v>5.65</v>
      </c>
      <c r="F29" s="19">
        <v>1</v>
      </c>
      <c r="G29" s="19">
        <v>592</v>
      </c>
      <c r="H29" s="5" t="s">
        <v>48</v>
      </c>
      <c r="I29" s="18"/>
    </row>
    <row r="30" spans="1:9" ht="15.75">
      <c r="A30" s="9"/>
      <c r="B30" s="9"/>
      <c r="C30" s="9"/>
      <c r="D30" s="9"/>
      <c r="E30" s="9"/>
      <c r="F30" s="9"/>
      <c r="G30" s="9"/>
      <c r="H30" s="9"/>
      <c r="I30" s="18"/>
    </row>
    <row r="31" spans="1:9" ht="15.75">
      <c r="A31" s="4" t="s">
        <v>50</v>
      </c>
      <c r="B31" s="4"/>
      <c r="C31" s="4"/>
      <c r="D31" s="4"/>
      <c r="E31" s="4"/>
      <c r="F31" s="4">
        <f>SUM(F9:F30)</f>
        <v>253</v>
      </c>
      <c r="G31" s="4">
        <f>SUM(G9:G30)</f>
        <v>25539</v>
      </c>
      <c r="H31" s="4"/>
      <c r="I31" s="18"/>
    </row>
    <row r="32" spans="1:9" ht="15.75">
      <c r="I32" s="18"/>
    </row>
    <row r="33" spans="1:9" ht="15.75">
      <c r="I33" s="18"/>
    </row>
    <row r="34" spans="1:9" ht="15.75">
      <c r="A34" s="106" t="s">
        <v>51</v>
      </c>
      <c r="B34" s="111"/>
      <c r="C34" s="111"/>
      <c r="D34" s="111"/>
      <c r="E34" s="111"/>
      <c r="F34" s="111"/>
      <c r="G34" s="111"/>
      <c r="H34" s="112"/>
      <c r="I34" s="18"/>
    </row>
    <row r="35" spans="1:9" ht="15.75">
      <c r="A35" s="4" t="s">
        <v>1</v>
      </c>
      <c r="B35" s="4" t="s">
        <v>41</v>
      </c>
      <c r="C35" s="4" t="s">
        <v>42</v>
      </c>
      <c r="D35" s="4" t="s">
        <v>43</v>
      </c>
      <c r="E35" s="4" t="s">
        <v>44</v>
      </c>
      <c r="F35" s="4" t="s">
        <v>45</v>
      </c>
      <c r="G35" s="4" t="s">
        <v>46</v>
      </c>
      <c r="H35" s="4" t="s">
        <v>47</v>
      </c>
      <c r="I35" s="18"/>
    </row>
    <row r="36" spans="1:9" ht="15.75">
      <c r="A36" s="4">
        <v>1</v>
      </c>
      <c r="B36" s="4" t="s">
        <v>52</v>
      </c>
      <c r="C36" s="19">
        <v>32</v>
      </c>
      <c r="D36" s="19">
        <v>3</v>
      </c>
      <c r="E36" s="19" t="s">
        <v>23</v>
      </c>
      <c r="F36" s="19">
        <v>24</v>
      </c>
      <c r="G36" s="19">
        <v>325</v>
      </c>
      <c r="H36" s="5" t="s">
        <v>48</v>
      </c>
      <c r="I36" s="18" t="s">
        <v>49</v>
      </c>
    </row>
    <row r="37" spans="1:9" ht="15.75">
      <c r="A37" s="4">
        <v>2</v>
      </c>
      <c r="B37" s="4" t="s">
        <v>52</v>
      </c>
      <c r="C37" s="19">
        <v>108</v>
      </c>
      <c r="D37" s="19">
        <v>4</v>
      </c>
      <c r="E37" s="19" t="s">
        <v>23</v>
      </c>
      <c r="F37" s="19">
        <v>31</v>
      </c>
      <c r="G37" s="19">
        <v>1993</v>
      </c>
      <c r="H37" s="5" t="s">
        <v>48</v>
      </c>
      <c r="I37" s="18" t="s">
        <v>49</v>
      </c>
    </row>
    <row r="38" spans="1:9" ht="15.75">
      <c r="A38" s="4">
        <v>3</v>
      </c>
      <c r="B38" s="4" t="s">
        <v>52</v>
      </c>
      <c r="C38" s="19">
        <v>108</v>
      </c>
      <c r="D38" s="19">
        <v>6</v>
      </c>
      <c r="E38" s="19" t="s">
        <v>23</v>
      </c>
      <c r="F38" s="19">
        <v>10</v>
      </c>
      <c r="G38" s="19">
        <v>1007</v>
      </c>
      <c r="H38" s="5" t="s">
        <v>48</v>
      </c>
      <c r="I38" s="18" t="s">
        <v>49</v>
      </c>
    </row>
    <row r="39" spans="1:9" ht="15.75">
      <c r="A39" s="4">
        <v>4</v>
      </c>
      <c r="B39" s="4" t="s">
        <v>52</v>
      </c>
      <c r="C39" s="19">
        <v>108</v>
      </c>
      <c r="D39" s="19">
        <v>8</v>
      </c>
      <c r="E39" s="19" t="s">
        <v>23</v>
      </c>
      <c r="F39" s="19">
        <v>8</v>
      </c>
      <c r="G39" s="19">
        <v>1018</v>
      </c>
      <c r="H39" s="5" t="s">
        <v>48</v>
      </c>
      <c r="I39" s="18" t="s">
        <v>49</v>
      </c>
    </row>
    <row r="40" spans="1:9" ht="15.75">
      <c r="A40" s="4">
        <v>5</v>
      </c>
      <c r="B40" s="4" t="s">
        <v>52</v>
      </c>
      <c r="C40" s="19">
        <v>133</v>
      </c>
      <c r="D40" s="19">
        <v>5</v>
      </c>
      <c r="E40" s="19" t="s">
        <v>23</v>
      </c>
      <c r="F40" s="19">
        <v>6</v>
      </c>
      <c r="G40" s="19">
        <v>547</v>
      </c>
      <c r="H40" s="5" t="s">
        <v>48</v>
      </c>
      <c r="I40" s="18" t="s">
        <v>49</v>
      </c>
    </row>
    <row r="41" spans="1:9" ht="15.75">
      <c r="A41" s="4">
        <v>6</v>
      </c>
      <c r="B41" s="4" t="s">
        <v>52</v>
      </c>
      <c r="C41" s="19">
        <v>133</v>
      </c>
      <c r="D41" s="19">
        <v>6</v>
      </c>
      <c r="E41" s="19" t="s">
        <v>23</v>
      </c>
      <c r="F41" s="19">
        <v>5</v>
      </c>
      <c r="G41" s="19">
        <v>517</v>
      </c>
      <c r="H41" s="5" t="s">
        <v>48</v>
      </c>
      <c r="I41" s="18" t="s">
        <v>49</v>
      </c>
    </row>
    <row r="42" spans="1:9" ht="15.75">
      <c r="A42" s="4">
        <v>7</v>
      </c>
      <c r="B42" s="4" t="s">
        <v>52</v>
      </c>
      <c r="C42" s="19">
        <v>159</v>
      </c>
      <c r="D42" s="19">
        <v>6</v>
      </c>
      <c r="E42" s="19" t="s">
        <v>23</v>
      </c>
      <c r="F42" s="19">
        <v>22</v>
      </c>
      <c r="G42" s="19">
        <v>2735</v>
      </c>
      <c r="H42" s="5" t="s">
        <v>48</v>
      </c>
      <c r="I42" s="18" t="s">
        <v>49</v>
      </c>
    </row>
    <row r="43" spans="1:9" ht="15.75">
      <c r="A43" s="4">
        <v>8</v>
      </c>
      <c r="B43" s="4" t="s">
        <v>52</v>
      </c>
      <c r="C43" s="19">
        <v>219</v>
      </c>
      <c r="D43" s="19">
        <v>6</v>
      </c>
      <c r="E43" s="19" t="s">
        <v>23</v>
      </c>
      <c r="F43" s="19">
        <v>11</v>
      </c>
      <c r="G43" s="19">
        <v>2283</v>
      </c>
      <c r="H43" s="5" t="s">
        <v>48</v>
      </c>
      <c r="I43" s="18" t="s">
        <v>49</v>
      </c>
    </row>
    <row r="44" spans="1:9" ht="15.75">
      <c r="A44" s="4">
        <v>9</v>
      </c>
      <c r="B44" s="4" t="s">
        <v>52</v>
      </c>
      <c r="C44" s="19">
        <v>273</v>
      </c>
      <c r="D44" s="19">
        <v>7</v>
      </c>
      <c r="E44" s="19" t="s">
        <v>23</v>
      </c>
      <c r="F44" s="19">
        <v>4</v>
      </c>
      <c r="G44" s="19">
        <v>1138</v>
      </c>
      <c r="H44" s="5" t="s">
        <v>48</v>
      </c>
      <c r="I44" s="18" t="s">
        <v>49</v>
      </c>
    </row>
    <row r="45" spans="1:9" ht="15.75">
      <c r="A45" s="4">
        <v>10</v>
      </c>
      <c r="B45" s="4" t="s">
        <v>10</v>
      </c>
      <c r="C45" s="19">
        <v>25</v>
      </c>
      <c r="D45" s="19">
        <v>2</v>
      </c>
      <c r="E45" s="19">
        <v>6</v>
      </c>
      <c r="F45" s="19">
        <v>692</v>
      </c>
      <c r="G45" s="20">
        <v>4588</v>
      </c>
      <c r="H45" s="5" t="s">
        <v>48</v>
      </c>
      <c r="I45" s="18"/>
    </row>
    <row r="46" spans="1:9" ht="15.75">
      <c r="A46" s="4">
        <v>11</v>
      </c>
      <c r="B46" s="4" t="s">
        <v>10</v>
      </c>
      <c r="C46" s="19">
        <v>38</v>
      </c>
      <c r="D46" s="19">
        <v>3</v>
      </c>
      <c r="E46" s="19">
        <v>6</v>
      </c>
      <c r="F46" s="19">
        <v>62</v>
      </c>
      <c r="G46" s="20">
        <v>937</v>
      </c>
      <c r="H46" s="5" t="s">
        <v>48</v>
      </c>
      <c r="I46" s="18"/>
    </row>
    <row r="47" spans="1:9" ht="15.75">
      <c r="A47" s="4">
        <v>12</v>
      </c>
      <c r="B47" s="4" t="s">
        <v>10</v>
      </c>
      <c r="C47" s="19">
        <v>57</v>
      </c>
      <c r="D47" s="19">
        <v>3</v>
      </c>
      <c r="E47" s="19">
        <v>6</v>
      </c>
      <c r="F47" s="19">
        <v>63</v>
      </c>
      <c r="G47" s="20">
        <v>1513</v>
      </c>
      <c r="H47" s="5" t="s">
        <v>48</v>
      </c>
      <c r="I47" s="18"/>
    </row>
    <row r="48" spans="1:9" ht="15.75">
      <c r="A48" s="4">
        <v>13</v>
      </c>
      <c r="B48" s="4" t="s">
        <v>10</v>
      </c>
      <c r="C48" s="19">
        <v>57</v>
      </c>
      <c r="D48" s="19">
        <v>3.5</v>
      </c>
      <c r="E48" s="19">
        <v>6</v>
      </c>
      <c r="F48" s="19">
        <v>69</v>
      </c>
      <c r="G48" s="20">
        <v>1934</v>
      </c>
      <c r="H48" s="5" t="s">
        <v>48</v>
      </c>
      <c r="I48" s="18"/>
    </row>
    <row r="49" spans="1:9" ht="15.75">
      <c r="A49" s="4">
        <v>14</v>
      </c>
      <c r="B49" s="4" t="s">
        <v>10</v>
      </c>
      <c r="C49" s="19">
        <v>57</v>
      </c>
      <c r="D49" s="19">
        <v>4</v>
      </c>
      <c r="E49" s="19">
        <v>6</v>
      </c>
      <c r="F49" s="19">
        <v>57</v>
      </c>
      <c r="G49" s="20">
        <v>1793</v>
      </c>
      <c r="H49" s="5" t="s">
        <v>48</v>
      </c>
      <c r="I49" s="18"/>
    </row>
    <row r="50" spans="1:9" ht="15.75">
      <c r="A50" s="4">
        <v>15</v>
      </c>
      <c r="B50" s="4" t="s">
        <v>10</v>
      </c>
      <c r="C50" s="19">
        <v>89</v>
      </c>
      <c r="D50" s="19">
        <v>3</v>
      </c>
      <c r="E50" s="19">
        <v>6</v>
      </c>
      <c r="F50" s="19">
        <v>40</v>
      </c>
      <c r="G50" s="20">
        <v>1581</v>
      </c>
      <c r="H50" s="5" t="s">
        <v>48</v>
      </c>
      <c r="I50" s="18"/>
    </row>
    <row r="51" spans="1:9" ht="15.75">
      <c r="A51" s="4">
        <v>16</v>
      </c>
      <c r="B51" s="4" t="s">
        <v>10</v>
      </c>
      <c r="C51" s="19">
        <v>108</v>
      </c>
      <c r="D51" s="19">
        <v>3.5</v>
      </c>
      <c r="E51" s="19">
        <v>6</v>
      </c>
      <c r="F51" s="19">
        <v>5</v>
      </c>
      <c r="G51" s="20">
        <v>263</v>
      </c>
      <c r="H51" s="5" t="s">
        <v>48</v>
      </c>
      <c r="I51" s="18"/>
    </row>
    <row r="52" spans="1:9" ht="15.75">
      <c r="A52" s="4">
        <v>17</v>
      </c>
      <c r="B52" s="4" t="s">
        <v>10</v>
      </c>
      <c r="C52" s="19">
        <v>133</v>
      </c>
      <c r="D52" s="19">
        <v>4</v>
      </c>
      <c r="E52" s="19">
        <v>6</v>
      </c>
      <c r="F52" s="19">
        <v>13</v>
      </c>
      <c r="G52" s="20">
        <v>1069</v>
      </c>
      <c r="H52" s="5" t="s">
        <v>48</v>
      </c>
      <c r="I52" s="18"/>
    </row>
    <row r="53" spans="1:9" ht="15.75">
      <c r="A53" s="4">
        <v>18</v>
      </c>
      <c r="B53" s="4" t="s">
        <v>10</v>
      </c>
      <c r="C53" s="19">
        <v>133</v>
      </c>
      <c r="D53" s="19">
        <v>6</v>
      </c>
      <c r="E53" s="19">
        <v>6</v>
      </c>
      <c r="F53" s="19">
        <v>4</v>
      </c>
      <c r="G53" s="20">
        <v>483</v>
      </c>
      <c r="H53" s="5" t="s">
        <v>48</v>
      </c>
      <c r="I53" s="18"/>
    </row>
    <row r="54" spans="1:9" ht="15.75">
      <c r="A54" s="4">
        <v>19</v>
      </c>
      <c r="B54" s="4" t="s">
        <v>10</v>
      </c>
      <c r="C54" s="19">
        <v>159</v>
      </c>
      <c r="D54" s="19">
        <v>5</v>
      </c>
      <c r="E54" s="19">
        <v>6</v>
      </c>
      <c r="F54" s="19">
        <v>2</v>
      </c>
      <c r="G54" s="20">
        <v>223</v>
      </c>
      <c r="H54" s="5" t="s">
        <v>48</v>
      </c>
      <c r="I54" s="18"/>
    </row>
    <row r="55" spans="1:9" ht="15.75">
      <c r="A55" s="21"/>
      <c r="B55" s="21"/>
      <c r="C55" s="21"/>
      <c r="D55" s="21"/>
      <c r="E55" s="21"/>
      <c r="F55" s="21">
        <f>SUM(F36:F54)</f>
        <v>1128</v>
      </c>
      <c r="G55" s="21">
        <f>SUM(G36:G54)</f>
        <v>25947</v>
      </c>
      <c r="H55" s="21"/>
      <c r="I55" s="18"/>
    </row>
    <row r="56" spans="1:9" ht="15.75">
      <c r="I56" s="18"/>
    </row>
    <row r="57" spans="1:9" ht="15.75">
      <c r="I57" s="18"/>
    </row>
    <row r="58" spans="1:9" ht="15.75">
      <c r="I58" s="18"/>
    </row>
    <row r="59" spans="1:9" ht="15.75">
      <c r="I59" s="18"/>
    </row>
    <row r="60" spans="1:9" ht="15.75">
      <c r="F60" s="18"/>
      <c r="G60" s="18"/>
      <c r="I60" s="18"/>
    </row>
    <row r="61" spans="1:9" ht="15.75">
      <c r="F61" s="18"/>
      <c r="G61" s="18"/>
      <c r="I61" s="18"/>
    </row>
    <row r="62" spans="1:9" ht="15.75">
      <c r="F62" s="18"/>
      <c r="G62" s="18"/>
      <c r="I62" s="18"/>
    </row>
    <row r="63" spans="1:9" ht="15.75">
      <c r="F63" s="18"/>
      <c r="G63" s="18"/>
      <c r="I63" s="18"/>
    </row>
    <row r="64" spans="1:9" ht="15.75">
      <c r="I64" s="18"/>
    </row>
    <row r="65" spans="9:9" ht="15.75">
      <c r="I65" s="18"/>
    </row>
    <row r="66" spans="9:9" ht="15.75">
      <c r="I66" s="18"/>
    </row>
    <row r="67" spans="9:9" ht="15.75">
      <c r="I67" s="18"/>
    </row>
    <row r="68" spans="9:9" ht="15.75">
      <c r="I68" s="18"/>
    </row>
    <row r="69" spans="9:9" ht="15.75">
      <c r="I69" s="18"/>
    </row>
    <row r="70" spans="9:9" ht="15.75">
      <c r="I70" s="18"/>
    </row>
    <row r="71" spans="9:9" ht="15.75">
      <c r="I71" s="18"/>
    </row>
    <row r="72" spans="9:9" ht="15.75">
      <c r="I72" s="18"/>
    </row>
    <row r="73" spans="9:9" ht="15.75">
      <c r="I73" s="18"/>
    </row>
    <row r="74" spans="9:9" ht="15.75">
      <c r="I74" s="18"/>
    </row>
    <row r="75" spans="9:9" ht="15.75">
      <c r="I75" s="18"/>
    </row>
    <row r="76" spans="9:9" ht="15.75">
      <c r="I76" s="18"/>
    </row>
    <row r="77" spans="9:9" ht="15.75">
      <c r="I77" s="18"/>
    </row>
    <row r="78" spans="9:9" ht="15.75">
      <c r="I78" s="18"/>
    </row>
    <row r="79" spans="9:9" ht="15.75">
      <c r="I79" s="18"/>
    </row>
    <row r="80" spans="9:9" ht="15.75">
      <c r="I80" s="18"/>
    </row>
    <row r="81" spans="9:9" ht="15.75">
      <c r="I81" s="18"/>
    </row>
    <row r="82" spans="9:9" ht="15.75">
      <c r="I82" s="18"/>
    </row>
    <row r="83" spans="9:9" ht="15.75">
      <c r="I83" s="18"/>
    </row>
    <row r="84" spans="9:9" ht="15.75">
      <c r="I84" s="18"/>
    </row>
    <row r="85" spans="9:9" ht="15.75">
      <c r="I85" s="18"/>
    </row>
    <row r="86" spans="9:9" ht="15.75">
      <c r="I86" s="18"/>
    </row>
    <row r="87" spans="9:9" ht="15.75">
      <c r="I87" s="18"/>
    </row>
    <row r="88" spans="9:9" ht="15.75">
      <c r="I88" s="18"/>
    </row>
    <row r="89" spans="9:9" ht="15.75">
      <c r="I89" s="18"/>
    </row>
    <row r="90" spans="9:9" ht="15.75">
      <c r="I90" s="18"/>
    </row>
    <row r="91" spans="9:9" ht="15.75">
      <c r="I91" s="18"/>
    </row>
    <row r="92" spans="9:9" ht="15.75">
      <c r="I92" s="18"/>
    </row>
    <row r="93" spans="9:9" ht="15.75">
      <c r="I93" s="18"/>
    </row>
    <row r="94" spans="9:9" ht="15.75">
      <c r="I94" s="18"/>
    </row>
    <row r="95" spans="9:9" ht="15.75">
      <c r="I95" s="18"/>
    </row>
    <row r="96" spans="9:9" ht="15.75">
      <c r="I96" s="18"/>
    </row>
    <row r="97" spans="9:9" ht="15.75">
      <c r="I97" s="18"/>
    </row>
    <row r="98" spans="9:9" ht="15.75">
      <c r="I98" s="18"/>
    </row>
    <row r="99" spans="9:9" ht="15.75">
      <c r="I99" s="18"/>
    </row>
    <row r="100" spans="9:9" ht="15.75">
      <c r="I100" s="18"/>
    </row>
    <row r="101" spans="9:9" ht="15.75">
      <c r="I101" s="18"/>
    </row>
    <row r="102" spans="9:9" ht="15.75">
      <c r="I102" s="18"/>
    </row>
    <row r="103" spans="9:9" ht="15.75">
      <c r="I103" s="18"/>
    </row>
    <row r="104" spans="9:9" ht="15.75">
      <c r="I104" s="18"/>
    </row>
    <row r="105" spans="9:9" ht="15.75">
      <c r="I105" s="18"/>
    </row>
    <row r="106" spans="9:9" ht="15.75">
      <c r="I106" s="18"/>
    </row>
    <row r="107" spans="9:9" ht="15.75">
      <c r="I107" s="18"/>
    </row>
    <row r="108" spans="9:9" ht="15.75">
      <c r="I108" s="18"/>
    </row>
    <row r="109" spans="9:9" ht="15.75">
      <c r="I109" s="18"/>
    </row>
    <row r="110" spans="9:9" ht="15.75">
      <c r="I110" s="18"/>
    </row>
    <row r="111" spans="9:9" ht="15.75">
      <c r="I111" s="18"/>
    </row>
    <row r="112" spans="9:9" ht="15.75">
      <c r="I112" s="18"/>
    </row>
    <row r="113" spans="9:9" ht="15.75">
      <c r="I113" s="18"/>
    </row>
    <row r="114" spans="9:9" ht="15.75">
      <c r="I114" s="18"/>
    </row>
    <row r="115" spans="9:9" ht="15.75">
      <c r="I115" s="18"/>
    </row>
    <row r="116" spans="9:9" ht="15.75">
      <c r="I116" s="18"/>
    </row>
    <row r="117" spans="9:9" ht="15.75">
      <c r="I117" s="18"/>
    </row>
    <row r="118" spans="9:9" ht="15.75">
      <c r="I118" s="18"/>
    </row>
    <row r="119" spans="9:9" ht="15.75">
      <c r="I119" s="18"/>
    </row>
    <row r="120" spans="9:9" ht="15.75">
      <c r="I120" s="18"/>
    </row>
    <row r="121" spans="9:9" ht="15.75">
      <c r="I121" s="18"/>
    </row>
    <row r="122" spans="9:9" ht="15.75">
      <c r="I122" s="18"/>
    </row>
    <row r="123" spans="9:9" ht="15.75">
      <c r="I123" s="18"/>
    </row>
    <row r="124" spans="9:9" ht="15.75">
      <c r="I124" s="18"/>
    </row>
    <row r="125" spans="9:9" ht="15.75">
      <c r="I125" s="18"/>
    </row>
    <row r="126" spans="9:9" ht="15.75">
      <c r="I126" s="18"/>
    </row>
    <row r="127" spans="9:9" ht="15.75">
      <c r="I127" s="18"/>
    </row>
    <row r="128" spans="9:9" ht="15.75">
      <c r="I128" s="18"/>
    </row>
    <row r="129" spans="9:9" ht="15.75">
      <c r="I129" s="18"/>
    </row>
    <row r="130" spans="9:9" ht="15.75">
      <c r="I130" s="18"/>
    </row>
    <row r="131" spans="9:9" ht="15.75">
      <c r="I131" s="18"/>
    </row>
    <row r="132" spans="9:9" ht="15.75">
      <c r="I132" s="18"/>
    </row>
    <row r="133" spans="9:9" ht="15.75">
      <c r="I133" s="18"/>
    </row>
    <row r="134" spans="9:9" ht="15.75">
      <c r="I134" s="18"/>
    </row>
    <row r="135" spans="9:9" ht="15.75">
      <c r="I135" s="18"/>
    </row>
    <row r="136" spans="9:9" ht="15.75">
      <c r="I136" s="18"/>
    </row>
    <row r="137" spans="9:9" ht="15.75">
      <c r="I137" s="18"/>
    </row>
    <row r="138" spans="9:9" ht="15.75">
      <c r="I138" s="18"/>
    </row>
    <row r="139" spans="9:9" ht="15.75">
      <c r="I139" s="18"/>
    </row>
    <row r="140" spans="9:9" ht="15.75">
      <c r="I140" s="18"/>
    </row>
    <row r="141" spans="9:9" ht="15.75">
      <c r="I141" s="18"/>
    </row>
    <row r="142" spans="9:9" ht="15.75">
      <c r="I142" s="18"/>
    </row>
    <row r="143" spans="9:9" ht="15.75">
      <c r="I143" s="18"/>
    </row>
    <row r="144" spans="9:9" ht="15.75">
      <c r="I144" s="18"/>
    </row>
    <row r="145" spans="9:9" ht="15.75">
      <c r="I145" s="18"/>
    </row>
    <row r="146" spans="9:9" ht="15.75">
      <c r="I146" s="18"/>
    </row>
    <row r="147" spans="9:9" ht="15.75">
      <c r="I147" s="18"/>
    </row>
    <row r="148" spans="9:9" ht="15.75">
      <c r="I148" s="18"/>
    </row>
    <row r="149" spans="9:9" ht="15.75">
      <c r="I149" s="18"/>
    </row>
    <row r="150" spans="9:9" ht="15.75">
      <c r="I150" s="18"/>
    </row>
    <row r="151" spans="9:9" ht="15.75">
      <c r="I151" s="18"/>
    </row>
    <row r="152" spans="9:9" ht="15.75">
      <c r="I152" s="18"/>
    </row>
    <row r="153" spans="9:9" ht="15.75">
      <c r="I153" s="18"/>
    </row>
    <row r="154" spans="9:9" ht="15.75">
      <c r="I154" s="18"/>
    </row>
    <row r="155" spans="9:9" ht="15.75">
      <c r="I155" s="18"/>
    </row>
    <row r="156" spans="9:9" ht="15.75">
      <c r="I156" s="18"/>
    </row>
    <row r="157" spans="9:9" ht="15.75">
      <c r="I157" s="18"/>
    </row>
    <row r="158" spans="9:9" ht="15.75">
      <c r="I158" s="18"/>
    </row>
    <row r="159" spans="9:9" ht="15.75">
      <c r="I159" s="18"/>
    </row>
    <row r="160" spans="9:9" ht="15.75">
      <c r="I160" s="18"/>
    </row>
    <row r="161" spans="9:9" ht="15.75">
      <c r="I161" s="18"/>
    </row>
    <row r="162" spans="9:9" ht="15.75">
      <c r="I162" s="18"/>
    </row>
    <row r="163" spans="9:9" ht="15.75">
      <c r="I163" s="18"/>
    </row>
    <row r="164" spans="9:9" ht="15.75">
      <c r="I164" s="18"/>
    </row>
    <row r="165" spans="9:9" ht="15.75">
      <c r="I165" s="18"/>
    </row>
    <row r="166" spans="9:9" ht="15.75">
      <c r="I166" s="18"/>
    </row>
    <row r="167" spans="9:9" ht="15.75">
      <c r="I167" s="18"/>
    </row>
    <row r="168" spans="9:9" ht="15.75">
      <c r="I168" s="18"/>
    </row>
    <row r="169" spans="9:9" ht="15.75">
      <c r="I169" s="18"/>
    </row>
    <row r="170" spans="9:9" ht="15.75">
      <c r="I170" s="18"/>
    </row>
    <row r="171" spans="9:9" ht="15.75">
      <c r="I171" s="18"/>
    </row>
    <row r="172" spans="9:9" ht="15.75">
      <c r="I172" s="18"/>
    </row>
    <row r="173" spans="9:9" ht="15.75">
      <c r="I173" s="18"/>
    </row>
    <row r="174" spans="9:9" ht="15.75">
      <c r="I174" s="18"/>
    </row>
    <row r="175" spans="9:9" ht="15.75">
      <c r="I175" s="18"/>
    </row>
    <row r="176" spans="9:9" ht="15.75">
      <c r="I176" s="18"/>
    </row>
    <row r="177" spans="9:9" ht="15.75">
      <c r="I177" s="18"/>
    </row>
    <row r="178" spans="9:9" ht="15.75">
      <c r="I178" s="18"/>
    </row>
    <row r="179" spans="9:9" ht="15.75">
      <c r="I179" s="18"/>
    </row>
    <row r="180" spans="9:9" ht="15.75">
      <c r="I180" s="18"/>
    </row>
    <row r="181" spans="9:9" ht="15.75">
      <c r="I181" s="18"/>
    </row>
    <row r="182" spans="9:9" ht="15.75">
      <c r="I182" s="18"/>
    </row>
    <row r="183" spans="9:9" ht="15.75">
      <c r="I183" s="18"/>
    </row>
    <row r="184" spans="9:9" ht="15.75">
      <c r="I184" s="18"/>
    </row>
    <row r="185" spans="9:9" ht="15.75">
      <c r="I185" s="18"/>
    </row>
    <row r="186" spans="9:9" ht="15.75">
      <c r="I186" s="18"/>
    </row>
    <row r="187" spans="9:9" ht="15.75">
      <c r="I187" s="18"/>
    </row>
    <row r="188" spans="9:9" ht="15.75">
      <c r="I188" s="18"/>
    </row>
    <row r="189" spans="9:9" ht="15.75">
      <c r="I189" s="18"/>
    </row>
    <row r="190" spans="9:9" ht="15.75">
      <c r="I190" s="18"/>
    </row>
    <row r="191" spans="9:9" ht="15.75">
      <c r="I191" s="18"/>
    </row>
    <row r="192" spans="9:9" ht="15.75">
      <c r="I192" s="18"/>
    </row>
    <row r="193" spans="9:9" ht="15.75">
      <c r="I193" s="18"/>
    </row>
    <row r="194" spans="9:9" ht="15.75">
      <c r="I194" s="18"/>
    </row>
    <row r="195" spans="9:9" ht="15.75">
      <c r="I195" s="18"/>
    </row>
    <row r="196" spans="9:9" ht="15.75">
      <c r="I196" s="18"/>
    </row>
    <row r="197" spans="9:9" ht="15.75">
      <c r="I197" s="18"/>
    </row>
    <row r="198" spans="9:9" ht="15.75">
      <c r="I198" s="18"/>
    </row>
    <row r="199" spans="9:9" ht="15.75">
      <c r="I199" s="18"/>
    </row>
    <row r="200" spans="9:9" ht="15.75">
      <c r="I200" s="18"/>
    </row>
    <row r="201" spans="9:9" ht="15.75">
      <c r="I201" s="18"/>
    </row>
  </sheetData>
  <mergeCells count="2">
    <mergeCell ref="A7:G7"/>
    <mergeCell ref="A34:H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N249"/>
  <sheetViews>
    <sheetView topLeftCell="A88" workbookViewId="0">
      <selection activeCell="G105" sqref="G105"/>
    </sheetView>
  </sheetViews>
  <sheetFormatPr defaultRowHeight="15"/>
  <cols>
    <col min="1" max="1" width="10.42578125" style="89" customWidth="1"/>
    <col min="2" max="2" width="21.42578125" style="89" customWidth="1"/>
    <col min="3" max="3" width="14.85546875" style="89" customWidth="1"/>
    <col min="4" max="4" width="12.28515625" style="89" customWidth="1"/>
    <col min="5" max="5" width="18.140625" style="89" customWidth="1"/>
    <col min="6" max="7" width="12.28515625" style="89" customWidth="1"/>
    <col min="8" max="8" width="25.28515625" style="89" customWidth="1"/>
    <col min="9" max="9" width="28.28515625" style="89" customWidth="1"/>
    <col min="10" max="10" width="19.7109375" style="89" customWidth="1"/>
    <col min="11" max="11" width="20" style="89" customWidth="1"/>
    <col min="12" max="14" width="12.28515625" style="89" customWidth="1"/>
  </cols>
  <sheetData>
    <row r="1" spans="1:14" ht="1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</row>
    <row r="2" spans="1:14" ht="15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  <c r="N2" s="2"/>
    </row>
    <row r="3" spans="1:14" ht="15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2"/>
      <c r="K3" s="2"/>
      <c r="L3" s="2"/>
      <c r="M3" s="2"/>
      <c r="N3" s="2"/>
    </row>
    <row r="4" spans="1:14" ht="15" customHeight="1">
      <c r="A4" s="4">
        <v>1</v>
      </c>
      <c r="B4" s="4" t="s">
        <v>10</v>
      </c>
      <c r="C4" s="4">
        <v>16</v>
      </c>
      <c r="D4" s="4">
        <v>2</v>
      </c>
      <c r="E4" s="4">
        <v>6</v>
      </c>
      <c r="F4" s="4">
        <v>85</v>
      </c>
      <c r="G4" s="4">
        <v>365</v>
      </c>
      <c r="H4" s="5" t="s">
        <v>11</v>
      </c>
      <c r="I4" s="4" t="s">
        <v>12</v>
      </c>
      <c r="J4" s="2"/>
      <c r="K4" s="2"/>
      <c r="L4" s="2"/>
      <c r="M4" s="2"/>
      <c r="N4" s="2"/>
    </row>
    <row r="5" spans="1:14" ht="15" customHeight="1">
      <c r="A5" s="4">
        <v>1</v>
      </c>
      <c r="B5" s="4" t="s">
        <v>10</v>
      </c>
      <c r="C5" s="4">
        <v>8</v>
      </c>
      <c r="D5" s="6">
        <v>1</v>
      </c>
      <c r="E5" s="6">
        <v>6</v>
      </c>
      <c r="F5" s="6">
        <v>112</v>
      </c>
      <c r="G5" s="6">
        <v>110</v>
      </c>
      <c r="H5" s="5" t="s">
        <v>11</v>
      </c>
      <c r="I5" s="5" t="s">
        <v>13</v>
      </c>
      <c r="J5" s="2"/>
      <c r="K5" s="2"/>
      <c r="L5" s="2"/>
      <c r="M5" s="2"/>
      <c r="N5" s="2"/>
    </row>
    <row r="6" spans="1:14" ht="15" customHeight="1">
      <c r="A6" s="2"/>
      <c r="B6" s="4" t="s">
        <v>10</v>
      </c>
      <c r="C6" s="4">
        <v>89</v>
      </c>
      <c r="D6" s="4">
        <v>5</v>
      </c>
      <c r="E6" s="4">
        <v>6</v>
      </c>
      <c r="F6" s="4">
        <v>6</v>
      </c>
      <c r="G6" s="7">
        <v>378</v>
      </c>
      <c r="H6" s="5" t="s">
        <v>11</v>
      </c>
      <c r="I6" s="5" t="s">
        <v>14</v>
      </c>
      <c r="J6" s="2"/>
      <c r="K6" s="2"/>
      <c r="L6" s="2"/>
      <c r="M6" s="2"/>
      <c r="N6" s="2"/>
    </row>
    <row r="7" spans="1:14" ht="15" customHeight="1">
      <c r="A7" s="4">
        <v>14</v>
      </c>
      <c r="B7" s="4" t="s">
        <v>10</v>
      </c>
      <c r="C7" s="4">
        <v>18</v>
      </c>
      <c r="D7" s="4">
        <v>3.5</v>
      </c>
      <c r="E7" s="4">
        <v>6</v>
      </c>
      <c r="F7" s="4">
        <v>31</v>
      </c>
      <c r="G7" s="7">
        <v>224</v>
      </c>
      <c r="H7" s="5" t="s">
        <v>11</v>
      </c>
      <c r="I7" s="2" t="s">
        <v>15</v>
      </c>
      <c r="J7" s="2"/>
      <c r="K7" s="2"/>
      <c r="L7" s="2"/>
      <c r="M7" s="2"/>
      <c r="N7" s="2"/>
    </row>
    <row r="8" spans="1:14" ht="15" customHeight="1">
      <c r="A8" s="4">
        <v>16</v>
      </c>
      <c r="B8" s="4" t="s">
        <v>10</v>
      </c>
      <c r="C8" s="4">
        <v>18</v>
      </c>
      <c r="D8" s="4">
        <v>3.5</v>
      </c>
      <c r="E8" s="4">
        <v>6</v>
      </c>
      <c r="F8" s="4">
        <v>101</v>
      </c>
      <c r="G8" s="7">
        <v>736</v>
      </c>
      <c r="H8" s="5" t="s">
        <v>11</v>
      </c>
      <c r="I8" s="2" t="s">
        <v>15</v>
      </c>
      <c r="J8" s="2"/>
      <c r="K8" s="2"/>
      <c r="L8" s="2"/>
      <c r="M8" s="2"/>
      <c r="N8" s="2"/>
    </row>
    <row r="9" spans="1:14" ht="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5" customHeight="1">
      <c r="A10" s="2"/>
      <c r="B10" s="2"/>
      <c r="C10" s="2"/>
      <c r="D10" s="2"/>
      <c r="E10" s="2"/>
      <c r="F10" s="2">
        <f>SUM(F4:F8)</f>
        <v>335</v>
      </c>
      <c r="G10" s="2">
        <f>SUM(G4:G8)</f>
        <v>1813</v>
      </c>
      <c r="H10" s="2"/>
      <c r="I10" s="2"/>
      <c r="J10" s="2"/>
      <c r="K10" s="2"/>
      <c r="L10" s="2"/>
      <c r="M10" s="2"/>
      <c r="N10" s="2"/>
    </row>
    <row r="11" spans="1:14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 customHeight="1">
      <c r="A12" s="113" t="s">
        <v>16</v>
      </c>
      <c r="B12" s="114"/>
      <c r="C12" s="114"/>
      <c r="D12" s="114"/>
      <c r="E12" s="114"/>
      <c r="F12" s="114"/>
      <c r="G12" s="114"/>
      <c r="H12" s="114"/>
      <c r="I12" s="2"/>
      <c r="J12" s="2"/>
      <c r="K12" s="2"/>
      <c r="L12" s="2"/>
      <c r="M12" s="2"/>
      <c r="N12" s="2"/>
    </row>
    <row r="13" spans="1:14" ht="15" customHeight="1">
      <c r="A13" s="106" t="s">
        <v>0</v>
      </c>
      <c r="B13" s="115"/>
      <c r="C13" s="115"/>
      <c r="D13" s="115"/>
      <c r="E13" s="115"/>
      <c r="F13" s="115"/>
      <c r="G13" s="115"/>
      <c r="H13" s="115"/>
      <c r="I13" s="2"/>
      <c r="J13" s="2"/>
      <c r="K13" s="2"/>
      <c r="L13" s="2"/>
      <c r="M13" s="2"/>
      <c r="N13" s="2"/>
    </row>
    <row r="14" spans="1:14" ht="15" customHeight="1">
      <c r="A14" s="4" t="s">
        <v>1</v>
      </c>
      <c r="B14" s="4" t="s">
        <v>2</v>
      </c>
      <c r="C14" s="4" t="s">
        <v>3</v>
      </c>
      <c r="D14" s="4" t="s">
        <v>4</v>
      </c>
      <c r="E14" s="4" t="s">
        <v>5</v>
      </c>
      <c r="F14" s="4" t="s">
        <v>6</v>
      </c>
      <c r="G14" s="4" t="s">
        <v>7</v>
      </c>
      <c r="H14" s="4" t="s">
        <v>8</v>
      </c>
      <c r="I14" s="2"/>
      <c r="J14" s="2"/>
      <c r="K14" s="2"/>
      <c r="L14" s="2"/>
      <c r="M14" s="2"/>
      <c r="N14" s="2"/>
    </row>
    <row r="15" spans="1:14" ht="15" customHeight="1">
      <c r="A15" s="4">
        <v>33</v>
      </c>
      <c r="B15" s="4" t="s">
        <v>17</v>
      </c>
      <c r="C15" s="4">
        <v>219</v>
      </c>
      <c r="D15" s="4">
        <v>6</v>
      </c>
      <c r="E15" s="4">
        <v>6</v>
      </c>
      <c r="F15" s="4">
        <v>4</v>
      </c>
      <c r="G15" s="4">
        <v>754</v>
      </c>
      <c r="H15" s="5" t="s">
        <v>11</v>
      </c>
      <c r="I15" s="2" t="s">
        <v>18</v>
      </c>
      <c r="J15" s="2"/>
      <c r="K15" s="2"/>
      <c r="L15" s="2"/>
      <c r="M15" s="2"/>
      <c r="N15" s="2"/>
    </row>
    <row r="16" spans="1:14" ht="15" customHeight="1">
      <c r="A16" s="4"/>
      <c r="B16" s="4"/>
      <c r="C16" s="4"/>
      <c r="D16" s="4"/>
      <c r="E16" s="9"/>
      <c r="F16" s="4"/>
      <c r="G16" s="4"/>
      <c r="H16" s="5"/>
      <c r="I16" s="2"/>
      <c r="J16" s="2"/>
      <c r="K16" s="2"/>
      <c r="L16" s="2"/>
      <c r="M16" s="2"/>
      <c r="N16" s="2"/>
    </row>
    <row r="17" spans="1:14" ht="15" customHeight="1">
      <c r="A17" s="4"/>
      <c r="B17" s="4"/>
      <c r="C17" s="4"/>
      <c r="D17" s="4"/>
      <c r="E17" s="4"/>
      <c r="F17" s="4">
        <v>4</v>
      </c>
      <c r="G17" s="4">
        <v>754</v>
      </c>
      <c r="H17" s="4"/>
      <c r="I17" s="2"/>
      <c r="J17" s="2"/>
      <c r="K17" s="2"/>
      <c r="L17" s="2"/>
      <c r="M17" s="2"/>
      <c r="N17" s="2"/>
    </row>
    <row r="18" spans="1:14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" customHeight="1">
      <c r="A24" s="113" t="s">
        <v>19</v>
      </c>
      <c r="B24" s="114"/>
      <c r="C24" s="114"/>
      <c r="D24" s="114"/>
      <c r="E24" s="114"/>
      <c r="F24" s="114"/>
      <c r="G24" s="114"/>
      <c r="H24" s="114"/>
      <c r="I24" s="2"/>
      <c r="J24" s="2"/>
      <c r="K24" s="2"/>
      <c r="L24" s="2"/>
      <c r="M24" s="2"/>
      <c r="N24" s="2"/>
    </row>
    <row r="25" spans="1:14" ht="15" customHeight="1">
      <c r="A25" s="106" t="s">
        <v>0</v>
      </c>
      <c r="B25" s="115"/>
      <c r="C25" s="115"/>
      <c r="D25" s="115"/>
      <c r="E25" s="115"/>
      <c r="F25" s="115"/>
      <c r="G25" s="115"/>
      <c r="H25" s="115"/>
      <c r="I25" s="2"/>
      <c r="J25" s="2"/>
      <c r="K25" s="2"/>
      <c r="L25" s="2"/>
      <c r="M25" s="2"/>
      <c r="N25" s="2"/>
    </row>
    <row r="26" spans="1:14" ht="15" customHeight="1">
      <c r="A26" s="4" t="s">
        <v>1</v>
      </c>
      <c r="B26" s="4" t="s">
        <v>2</v>
      </c>
      <c r="C26" s="4" t="s">
        <v>3</v>
      </c>
      <c r="D26" s="4" t="s">
        <v>4</v>
      </c>
      <c r="E26" s="4" t="s">
        <v>5</v>
      </c>
      <c r="F26" s="4" t="s">
        <v>6</v>
      </c>
      <c r="G26" s="4" t="s">
        <v>7</v>
      </c>
      <c r="H26" s="4" t="s">
        <v>8</v>
      </c>
      <c r="I26" s="2"/>
      <c r="J26" s="2"/>
      <c r="K26" s="2"/>
      <c r="L26" s="2"/>
      <c r="M26" s="2"/>
      <c r="N26" s="2"/>
    </row>
    <row r="27" spans="1:14" ht="15" customHeight="1">
      <c r="A27" s="4">
        <v>1</v>
      </c>
      <c r="B27" s="4" t="s">
        <v>10</v>
      </c>
      <c r="C27" s="4">
        <v>133</v>
      </c>
      <c r="D27" s="4">
        <v>5</v>
      </c>
      <c r="E27" s="4">
        <v>6</v>
      </c>
      <c r="F27" s="4">
        <v>1</v>
      </c>
      <c r="G27" s="4">
        <v>138</v>
      </c>
      <c r="H27" s="5" t="s">
        <v>11</v>
      </c>
      <c r="I27" s="2" t="s">
        <v>20</v>
      </c>
      <c r="J27" s="2"/>
      <c r="K27" s="2"/>
      <c r="L27" s="2"/>
      <c r="M27" s="2"/>
      <c r="N27" s="2"/>
    </row>
    <row r="28" spans="1:14" ht="15" customHeight="1">
      <c r="A28" s="4">
        <v>8</v>
      </c>
      <c r="B28" s="4" t="s">
        <v>10</v>
      </c>
      <c r="C28" s="4">
        <v>273</v>
      </c>
      <c r="D28" s="4">
        <v>6</v>
      </c>
      <c r="E28" s="4">
        <v>6</v>
      </c>
      <c r="F28" s="4">
        <v>1</v>
      </c>
      <c r="G28" s="4">
        <v>279</v>
      </c>
      <c r="H28" s="5" t="s">
        <v>11</v>
      </c>
      <c r="I28" s="2" t="s">
        <v>20</v>
      </c>
      <c r="J28" s="2"/>
      <c r="K28" s="2"/>
      <c r="L28" s="2"/>
      <c r="M28" s="2"/>
      <c r="N28" s="2"/>
    </row>
    <row r="29" spans="1:14" ht="15" customHeight="1">
      <c r="A29" s="4">
        <v>9</v>
      </c>
      <c r="B29" s="4" t="s">
        <v>10</v>
      </c>
      <c r="C29" s="4">
        <v>273</v>
      </c>
      <c r="D29" s="4">
        <v>6</v>
      </c>
      <c r="E29" s="4">
        <v>6</v>
      </c>
      <c r="F29" s="4">
        <v>2</v>
      </c>
      <c r="G29" s="4">
        <v>521</v>
      </c>
      <c r="H29" s="5" t="s">
        <v>11</v>
      </c>
      <c r="I29" s="2" t="s">
        <v>20</v>
      </c>
      <c r="J29" s="2"/>
      <c r="K29" s="2"/>
      <c r="L29" s="2"/>
      <c r="M29" s="2"/>
      <c r="N29" s="2"/>
    </row>
    <row r="30" spans="1:14" ht="15" customHeight="1">
      <c r="A30" s="4">
        <v>10</v>
      </c>
      <c r="B30" s="4" t="s">
        <v>10</v>
      </c>
      <c r="C30" s="4">
        <v>273</v>
      </c>
      <c r="D30" s="4">
        <v>6</v>
      </c>
      <c r="E30" s="4">
        <v>6</v>
      </c>
      <c r="F30" s="4">
        <v>2</v>
      </c>
      <c r="G30" s="4">
        <v>521</v>
      </c>
      <c r="H30" s="5" t="s">
        <v>11</v>
      </c>
      <c r="I30" s="2" t="s">
        <v>20</v>
      </c>
      <c r="J30" s="2"/>
      <c r="K30" s="2"/>
      <c r="L30" s="2"/>
      <c r="M30" s="2"/>
      <c r="N30" s="2"/>
    </row>
    <row r="31" spans="1:14" ht="15" customHeight="1">
      <c r="A31" s="4">
        <v>11</v>
      </c>
      <c r="B31" s="4" t="s">
        <v>10</v>
      </c>
      <c r="C31" s="4">
        <v>273</v>
      </c>
      <c r="D31" s="4">
        <v>6</v>
      </c>
      <c r="E31" s="4">
        <v>6</v>
      </c>
      <c r="F31" s="4">
        <v>2</v>
      </c>
      <c r="G31" s="4">
        <v>523</v>
      </c>
      <c r="H31" s="5" t="s">
        <v>11</v>
      </c>
      <c r="I31" s="2" t="s">
        <v>20</v>
      </c>
      <c r="J31" s="2"/>
      <c r="K31" s="2"/>
      <c r="L31" s="2"/>
      <c r="M31" s="2"/>
      <c r="N31" s="2"/>
    </row>
    <row r="32" spans="1:14" ht="15" customHeight="1">
      <c r="A32" s="4">
        <v>30</v>
      </c>
      <c r="B32" s="4" t="s">
        <v>10</v>
      </c>
      <c r="C32" s="4">
        <v>60</v>
      </c>
      <c r="D32" s="4">
        <v>5</v>
      </c>
      <c r="E32" s="4">
        <v>6</v>
      </c>
      <c r="F32" s="4">
        <v>22</v>
      </c>
      <c r="G32" s="4">
        <v>931</v>
      </c>
      <c r="H32" s="5" t="s">
        <v>11</v>
      </c>
      <c r="I32" s="2" t="s">
        <v>20</v>
      </c>
      <c r="J32" s="2"/>
      <c r="K32" s="2"/>
      <c r="L32" s="2"/>
      <c r="M32" s="2"/>
      <c r="N32" s="2"/>
    </row>
    <row r="33" spans="1:14" ht="15" customHeight="1">
      <c r="A33" s="4">
        <v>31</v>
      </c>
      <c r="B33" s="4" t="s">
        <v>10</v>
      </c>
      <c r="C33" s="4">
        <v>60</v>
      </c>
      <c r="D33" s="4">
        <v>5</v>
      </c>
      <c r="E33" s="4">
        <v>6</v>
      </c>
      <c r="F33" s="4">
        <v>25</v>
      </c>
      <c r="G33" s="4">
        <v>1055</v>
      </c>
      <c r="H33" s="5" t="s">
        <v>11</v>
      </c>
      <c r="I33" s="2" t="s">
        <v>20</v>
      </c>
      <c r="J33" s="2"/>
      <c r="K33" s="2"/>
      <c r="L33" s="2"/>
      <c r="M33" s="2"/>
      <c r="N33" s="2"/>
    </row>
    <row r="34" spans="1:14" ht="15" customHeight="1">
      <c r="A34" s="4"/>
      <c r="B34" s="4"/>
      <c r="C34" s="4"/>
      <c r="D34" s="4"/>
      <c r="E34" s="4"/>
      <c r="F34" s="4">
        <v>58</v>
      </c>
      <c r="G34" s="4">
        <f>SUM(G27:G33)</f>
        <v>3968</v>
      </c>
      <c r="H34" s="4"/>
      <c r="I34" s="2"/>
      <c r="J34" s="2"/>
      <c r="K34" s="2"/>
      <c r="L34" s="2"/>
      <c r="M34" s="2"/>
      <c r="N34" s="2"/>
    </row>
    <row r="35" spans="1:14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" customHeight="1">
      <c r="A41" s="4" t="s">
        <v>1</v>
      </c>
      <c r="B41" s="4" t="s">
        <v>2</v>
      </c>
      <c r="C41" s="4" t="s">
        <v>3</v>
      </c>
      <c r="D41" s="4" t="s">
        <v>4</v>
      </c>
      <c r="E41" s="4" t="s">
        <v>5</v>
      </c>
      <c r="F41" s="4" t="s">
        <v>6</v>
      </c>
      <c r="G41" s="4" t="s">
        <v>7</v>
      </c>
      <c r="H41" s="4" t="s">
        <v>8</v>
      </c>
      <c r="I41" s="2"/>
      <c r="J41" s="2"/>
      <c r="K41" s="2"/>
      <c r="L41" s="2"/>
      <c r="M41" s="2"/>
      <c r="N41" s="2"/>
    </row>
    <row r="42" spans="1:14" ht="15" customHeight="1">
      <c r="A42" s="4">
        <v>8</v>
      </c>
      <c r="B42" s="4" t="s">
        <v>10</v>
      </c>
      <c r="C42" s="4">
        <v>114</v>
      </c>
      <c r="D42" s="4">
        <v>6</v>
      </c>
      <c r="E42" s="4" t="s">
        <v>21</v>
      </c>
      <c r="F42" s="4">
        <v>11</v>
      </c>
      <c r="G42" s="4">
        <v>1045</v>
      </c>
      <c r="H42" s="5" t="s">
        <v>11</v>
      </c>
      <c r="I42" s="2" t="s">
        <v>22</v>
      </c>
      <c r="J42" s="2"/>
      <c r="K42" s="2"/>
      <c r="L42" s="2"/>
      <c r="M42" s="2"/>
      <c r="N42" s="2"/>
    </row>
    <row r="43" spans="1:14" ht="15" customHeight="1">
      <c r="A43" s="4">
        <v>9</v>
      </c>
      <c r="B43" s="4" t="s">
        <v>10</v>
      </c>
      <c r="C43" s="4">
        <v>114</v>
      </c>
      <c r="D43" s="4">
        <v>6</v>
      </c>
      <c r="E43" s="4" t="s">
        <v>21</v>
      </c>
      <c r="F43" s="4">
        <v>10</v>
      </c>
      <c r="G43" s="4">
        <v>978</v>
      </c>
      <c r="H43" s="5" t="s">
        <v>11</v>
      </c>
      <c r="I43" s="2" t="s">
        <v>22</v>
      </c>
      <c r="J43" s="2"/>
      <c r="K43" s="2"/>
      <c r="L43" s="2"/>
      <c r="M43" s="2"/>
      <c r="N43" s="2"/>
    </row>
    <row r="44" spans="1:14" ht="15" customHeight="1">
      <c r="A44" s="4">
        <v>10</v>
      </c>
      <c r="B44" s="4" t="s">
        <v>10</v>
      </c>
      <c r="C44" s="4">
        <v>114</v>
      </c>
      <c r="D44" s="4">
        <v>6</v>
      </c>
      <c r="E44" s="4" t="s">
        <v>21</v>
      </c>
      <c r="F44" s="4">
        <v>10</v>
      </c>
      <c r="G44" s="4">
        <v>984</v>
      </c>
      <c r="H44" s="5" t="s">
        <v>11</v>
      </c>
      <c r="I44" s="2" t="s">
        <v>22</v>
      </c>
      <c r="J44" s="2"/>
      <c r="K44" s="2"/>
      <c r="L44" s="2"/>
      <c r="M44" s="2"/>
      <c r="N44" s="2"/>
    </row>
    <row r="45" spans="1:14" ht="15" customHeight="1">
      <c r="A45" s="4">
        <v>11</v>
      </c>
      <c r="B45" s="4" t="s">
        <v>10</v>
      </c>
      <c r="C45" s="4">
        <v>114</v>
      </c>
      <c r="D45" s="4">
        <v>6</v>
      </c>
      <c r="E45" s="4" t="s">
        <v>23</v>
      </c>
      <c r="F45" s="4">
        <v>1</v>
      </c>
      <c r="G45" s="4">
        <v>84</v>
      </c>
      <c r="H45" s="5" t="s">
        <v>11</v>
      </c>
      <c r="I45" s="2" t="s">
        <v>22</v>
      </c>
      <c r="J45" s="2"/>
      <c r="K45" s="2"/>
      <c r="L45" s="2"/>
      <c r="M45" s="2"/>
      <c r="N45" s="2"/>
    </row>
    <row r="46" spans="1:14" ht="15" customHeight="1">
      <c r="A46" s="4">
        <v>13</v>
      </c>
      <c r="B46" s="4" t="s">
        <v>10</v>
      </c>
      <c r="C46" s="4">
        <v>219</v>
      </c>
      <c r="D46" s="4">
        <v>10</v>
      </c>
      <c r="E46" s="4" t="s">
        <v>21</v>
      </c>
      <c r="F46" s="4">
        <v>1</v>
      </c>
      <c r="G46" s="4">
        <v>287</v>
      </c>
      <c r="H46" s="5" t="s">
        <v>11</v>
      </c>
      <c r="I46" s="2" t="s">
        <v>22</v>
      </c>
      <c r="J46" s="2"/>
      <c r="K46" s="2"/>
      <c r="L46" s="2" t="s">
        <v>24</v>
      </c>
      <c r="M46" s="2" t="s">
        <v>25</v>
      </c>
      <c r="N46" s="2" t="s">
        <v>26</v>
      </c>
    </row>
    <row r="47" spans="1:14" ht="15" customHeight="1">
      <c r="A47" s="7">
        <v>14</v>
      </c>
      <c r="B47" s="7" t="s">
        <v>10</v>
      </c>
      <c r="C47" s="7">
        <v>219</v>
      </c>
      <c r="D47" s="7">
        <v>6</v>
      </c>
      <c r="E47" s="7">
        <v>6</v>
      </c>
      <c r="F47" s="7">
        <v>3</v>
      </c>
      <c r="G47" s="7">
        <v>604</v>
      </c>
      <c r="H47" s="10" t="s">
        <v>11</v>
      </c>
      <c r="I47" s="11" t="s">
        <v>22</v>
      </c>
      <c r="J47" s="11" t="s">
        <v>27</v>
      </c>
      <c r="K47" s="11"/>
      <c r="L47" s="11">
        <v>33.555555560000002</v>
      </c>
      <c r="M47" s="11">
        <v>3.3555555560000001</v>
      </c>
      <c r="N47" s="11">
        <v>5</v>
      </c>
    </row>
    <row r="48" spans="1:14" ht="15" customHeight="1">
      <c r="A48" s="4">
        <v>15</v>
      </c>
      <c r="B48" s="4" t="s">
        <v>10</v>
      </c>
      <c r="C48" s="4">
        <v>219</v>
      </c>
      <c r="D48" s="4">
        <v>6</v>
      </c>
      <c r="E48" s="4" t="s">
        <v>21</v>
      </c>
      <c r="F48" s="4">
        <v>3</v>
      </c>
      <c r="G48" s="4">
        <v>573</v>
      </c>
      <c r="H48" s="5" t="s">
        <v>11</v>
      </c>
      <c r="I48" s="2" t="s">
        <v>22</v>
      </c>
      <c r="J48" s="2"/>
      <c r="K48" s="2"/>
      <c r="L48" s="2"/>
      <c r="M48" s="2"/>
      <c r="N48" s="2"/>
    </row>
    <row r="49" spans="1:14" ht="15" customHeight="1">
      <c r="A49" s="4">
        <v>16</v>
      </c>
      <c r="B49" s="4" t="s">
        <v>10</v>
      </c>
      <c r="C49" s="4">
        <v>219</v>
      </c>
      <c r="D49" s="4">
        <v>6</v>
      </c>
      <c r="E49" s="4" t="s">
        <v>28</v>
      </c>
      <c r="F49" s="4">
        <v>1</v>
      </c>
      <c r="G49" s="4">
        <v>202</v>
      </c>
      <c r="H49" s="5" t="s">
        <v>11</v>
      </c>
      <c r="I49" s="2" t="s">
        <v>22</v>
      </c>
      <c r="J49" s="2"/>
      <c r="K49" s="2"/>
      <c r="L49" s="2"/>
      <c r="M49" s="2"/>
      <c r="N49" s="2"/>
    </row>
    <row r="50" spans="1:14" ht="15" customHeight="1">
      <c r="A50" s="7">
        <v>17</v>
      </c>
      <c r="B50" s="7" t="s">
        <v>10</v>
      </c>
      <c r="C50" s="7">
        <v>273</v>
      </c>
      <c r="D50" s="7">
        <v>6</v>
      </c>
      <c r="E50" s="7">
        <v>6</v>
      </c>
      <c r="F50" s="7">
        <v>3</v>
      </c>
      <c r="G50" s="7">
        <v>735</v>
      </c>
      <c r="H50" s="10" t="s">
        <v>11</v>
      </c>
      <c r="I50" s="11" t="s">
        <v>22</v>
      </c>
      <c r="J50" s="11" t="s">
        <v>27</v>
      </c>
      <c r="K50" s="11"/>
      <c r="L50" s="11">
        <v>40.833333330000002</v>
      </c>
      <c r="M50" s="11">
        <v>4.0833333329999997</v>
      </c>
      <c r="N50" s="11">
        <v>5</v>
      </c>
    </row>
    <row r="51" spans="1:14" ht="15" customHeight="1">
      <c r="A51" s="7">
        <v>18</v>
      </c>
      <c r="B51" s="7" t="s">
        <v>10</v>
      </c>
      <c r="C51" s="7">
        <v>273</v>
      </c>
      <c r="D51" s="7">
        <v>6</v>
      </c>
      <c r="E51" s="7">
        <v>6</v>
      </c>
      <c r="F51" s="7">
        <v>3</v>
      </c>
      <c r="G51" s="7">
        <v>720</v>
      </c>
      <c r="H51" s="10" t="s">
        <v>11</v>
      </c>
      <c r="I51" s="11" t="s">
        <v>22</v>
      </c>
      <c r="J51" s="11" t="s">
        <v>29</v>
      </c>
      <c r="K51" s="11"/>
      <c r="L51" s="11">
        <v>40</v>
      </c>
      <c r="M51" s="11">
        <v>4</v>
      </c>
      <c r="N51" s="11">
        <v>5</v>
      </c>
    </row>
    <row r="52" spans="1:14" ht="15" customHeight="1">
      <c r="A52" s="4">
        <v>19</v>
      </c>
      <c r="B52" s="4" t="s">
        <v>10</v>
      </c>
      <c r="C52" s="4">
        <v>273</v>
      </c>
      <c r="D52" s="4">
        <v>6</v>
      </c>
      <c r="E52" s="4" t="s">
        <v>21</v>
      </c>
      <c r="F52" s="4">
        <v>1</v>
      </c>
      <c r="G52" s="4">
        <v>223</v>
      </c>
      <c r="H52" s="5" t="s">
        <v>11</v>
      </c>
      <c r="I52" s="2" t="s">
        <v>22</v>
      </c>
      <c r="J52" s="2"/>
      <c r="K52" s="2"/>
      <c r="L52" s="2"/>
      <c r="M52" s="2"/>
      <c r="N52" s="2"/>
    </row>
    <row r="53" spans="1:14" ht="15" customHeight="1">
      <c r="A53" s="4"/>
      <c r="B53" s="4"/>
      <c r="C53" s="4"/>
      <c r="D53" s="4"/>
      <c r="E53" s="4"/>
      <c r="F53" s="4"/>
      <c r="G53" s="4"/>
      <c r="H53" s="5"/>
      <c r="I53" s="2"/>
      <c r="J53" s="2"/>
      <c r="K53" s="2"/>
      <c r="L53" s="2"/>
      <c r="M53" s="2"/>
      <c r="N53" s="2"/>
    </row>
    <row r="54" spans="1:14" ht="15" customHeight="1">
      <c r="A54" s="4"/>
      <c r="B54" s="4"/>
      <c r="C54" s="4"/>
      <c r="D54" s="4"/>
      <c r="E54" s="4"/>
      <c r="F54" s="4"/>
      <c r="G54" s="4"/>
      <c r="H54" s="5"/>
      <c r="I54" s="2"/>
      <c r="J54" s="2"/>
      <c r="K54" s="2"/>
      <c r="L54" s="2"/>
      <c r="M54" s="2"/>
      <c r="N54" s="2"/>
    </row>
    <row r="55" spans="1:14" ht="15" customHeight="1">
      <c r="A55" s="4"/>
      <c r="B55" s="4"/>
      <c r="C55" s="4"/>
      <c r="D55" s="4"/>
      <c r="E55" s="9"/>
      <c r="F55" s="4"/>
      <c r="G55" s="4"/>
      <c r="H55" s="5"/>
      <c r="I55" s="2"/>
      <c r="J55" s="2"/>
      <c r="K55" s="2"/>
      <c r="L55" s="2"/>
      <c r="M55" s="2"/>
      <c r="N55" s="2"/>
    </row>
    <row r="56" spans="1:14" ht="15" customHeight="1">
      <c r="A56" s="4"/>
      <c r="B56" s="4"/>
      <c r="C56" s="4"/>
      <c r="D56" s="4"/>
      <c r="E56" s="4"/>
      <c r="F56" s="4">
        <v>47</v>
      </c>
      <c r="G56" s="4">
        <f>SUM(G42:G53)</f>
        <v>6435</v>
      </c>
      <c r="H56" s="4"/>
      <c r="I56" s="2"/>
      <c r="J56" s="2"/>
      <c r="K56" s="2"/>
      <c r="L56" s="2"/>
      <c r="M56" s="2"/>
      <c r="N56" s="2"/>
    </row>
    <row r="57" spans="1:14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" customHeight="1">
      <c r="A61" s="4">
        <v>1</v>
      </c>
      <c r="B61" s="4" t="s">
        <v>10</v>
      </c>
      <c r="C61" s="4">
        <v>27</v>
      </c>
      <c r="D61" s="4">
        <v>3</v>
      </c>
      <c r="E61" s="4">
        <v>6</v>
      </c>
      <c r="F61" s="4">
        <v>35</v>
      </c>
      <c r="G61" s="4">
        <v>371</v>
      </c>
      <c r="H61" s="5" t="s">
        <v>11</v>
      </c>
      <c r="I61" s="2" t="s">
        <v>30</v>
      </c>
      <c r="J61" s="2"/>
      <c r="K61" s="2"/>
      <c r="L61" s="2"/>
      <c r="M61" s="2"/>
      <c r="N61" s="2"/>
    </row>
    <row r="62" spans="1:14" ht="15" customHeight="1">
      <c r="A62" s="4">
        <v>6</v>
      </c>
      <c r="B62" s="4" t="s">
        <v>10</v>
      </c>
      <c r="C62" s="4">
        <v>45</v>
      </c>
      <c r="D62" s="4">
        <v>3</v>
      </c>
      <c r="E62" s="4">
        <v>6</v>
      </c>
      <c r="F62" s="4">
        <v>29</v>
      </c>
      <c r="G62" s="4">
        <v>505</v>
      </c>
      <c r="H62" s="5" t="s">
        <v>11</v>
      </c>
      <c r="I62" s="2" t="s">
        <v>30</v>
      </c>
      <c r="J62" s="2"/>
      <c r="K62" s="2"/>
      <c r="L62" s="2"/>
      <c r="M62" s="2"/>
      <c r="N62" s="2"/>
    </row>
    <row r="63" spans="1:14" ht="15" customHeight="1">
      <c r="A63" s="4">
        <v>7</v>
      </c>
      <c r="B63" s="4" t="s">
        <v>10</v>
      </c>
      <c r="C63" s="4">
        <v>45</v>
      </c>
      <c r="D63" s="4">
        <v>3</v>
      </c>
      <c r="E63" s="4">
        <v>6</v>
      </c>
      <c r="F63" s="4">
        <v>38</v>
      </c>
      <c r="G63" s="4">
        <v>713</v>
      </c>
      <c r="H63" s="5" t="s">
        <v>11</v>
      </c>
      <c r="I63" s="2" t="s">
        <v>30</v>
      </c>
      <c r="J63" s="2"/>
      <c r="K63" s="2"/>
      <c r="L63" s="2"/>
      <c r="M63" s="2"/>
      <c r="N63" s="2"/>
    </row>
    <row r="64" spans="1:14" ht="15" customHeight="1">
      <c r="A64" s="4">
        <v>8</v>
      </c>
      <c r="B64" s="4" t="s">
        <v>10</v>
      </c>
      <c r="C64" s="4">
        <v>45</v>
      </c>
      <c r="D64" s="4">
        <v>3.5</v>
      </c>
      <c r="E64" s="4">
        <v>6</v>
      </c>
      <c r="F64" s="4">
        <v>30</v>
      </c>
      <c r="G64" s="4">
        <v>641</v>
      </c>
      <c r="H64" s="5" t="s">
        <v>11</v>
      </c>
      <c r="I64" s="2" t="s">
        <v>30</v>
      </c>
      <c r="J64" s="2"/>
      <c r="K64" s="2"/>
      <c r="L64" s="2"/>
      <c r="M64" s="2"/>
      <c r="N64" s="2"/>
    </row>
    <row r="65" spans="1:14" ht="15" customHeight="1">
      <c r="A65" s="4">
        <v>11</v>
      </c>
      <c r="B65" s="4" t="s">
        <v>10</v>
      </c>
      <c r="C65" s="4">
        <v>45</v>
      </c>
      <c r="D65" s="4">
        <v>3.5</v>
      </c>
      <c r="E65" s="4">
        <v>6</v>
      </c>
      <c r="F65" s="4">
        <v>36</v>
      </c>
      <c r="G65" s="4">
        <v>768</v>
      </c>
      <c r="H65" s="5" t="s">
        <v>11</v>
      </c>
      <c r="I65" s="2" t="s">
        <v>30</v>
      </c>
      <c r="J65" s="2"/>
      <c r="K65" s="2"/>
      <c r="L65" s="2"/>
      <c r="M65" s="2"/>
      <c r="N65" s="2"/>
    </row>
    <row r="66" spans="1:14" ht="15" customHeight="1">
      <c r="A66" s="4"/>
      <c r="B66" s="4"/>
      <c r="C66" s="4"/>
      <c r="D66" s="4"/>
      <c r="E66" s="4"/>
      <c r="F66" s="4">
        <v>168</v>
      </c>
      <c r="G66" s="4">
        <f>SUM(G61:G65)</f>
        <v>2998</v>
      </c>
      <c r="H66" s="4"/>
      <c r="I66" s="2"/>
      <c r="J66" s="2"/>
      <c r="K66" s="2"/>
      <c r="L66" s="2"/>
      <c r="M66" s="2"/>
      <c r="N66" s="2"/>
    </row>
    <row r="67" spans="1:1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" customHeight="1">
      <c r="A74" s="4" t="s">
        <v>1</v>
      </c>
      <c r="B74" s="4" t="s">
        <v>2</v>
      </c>
      <c r="C74" s="4" t="s">
        <v>3</v>
      </c>
      <c r="D74" s="4" t="s">
        <v>4</v>
      </c>
      <c r="E74" s="4" t="s">
        <v>5</v>
      </c>
      <c r="F74" s="4" t="s">
        <v>6</v>
      </c>
      <c r="G74" s="4" t="s">
        <v>7</v>
      </c>
      <c r="H74" s="4" t="s">
        <v>8</v>
      </c>
      <c r="I74" s="2" t="s">
        <v>31</v>
      </c>
      <c r="J74" s="2"/>
      <c r="K74" s="2"/>
      <c r="L74" s="2"/>
      <c r="M74" s="2"/>
      <c r="N74" s="2"/>
    </row>
    <row r="75" spans="1:14" ht="15" customHeight="1">
      <c r="A75" s="4">
        <v>12</v>
      </c>
      <c r="B75" s="4" t="s">
        <v>10</v>
      </c>
      <c r="C75" s="4">
        <v>76</v>
      </c>
      <c r="D75" s="4">
        <v>6</v>
      </c>
      <c r="E75" s="4">
        <v>6</v>
      </c>
      <c r="F75" s="4">
        <v>6</v>
      </c>
      <c r="G75" s="4">
        <v>377</v>
      </c>
      <c r="H75" s="5" t="s">
        <v>11</v>
      </c>
      <c r="I75" s="2" t="s">
        <v>31</v>
      </c>
      <c r="J75" s="2"/>
      <c r="K75" s="2"/>
      <c r="L75" s="2"/>
      <c r="M75" s="2"/>
      <c r="N75" s="2"/>
    </row>
    <row r="76" spans="1:14" ht="15" customHeight="1">
      <c r="A76" s="4">
        <v>13</v>
      </c>
      <c r="B76" s="4" t="s">
        <v>10</v>
      </c>
      <c r="C76" s="4">
        <v>76</v>
      </c>
      <c r="D76" s="4">
        <v>6</v>
      </c>
      <c r="E76" s="4">
        <v>6</v>
      </c>
      <c r="F76" s="4">
        <v>16</v>
      </c>
      <c r="G76" s="4">
        <v>1001</v>
      </c>
      <c r="H76" s="5" t="s">
        <v>11</v>
      </c>
      <c r="I76" s="2" t="s">
        <v>31</v>
      </c>
      <c r="J76" s="2"/>
      <c r="K76" s="2"/>
      <c r="L76" s="2"/>
      <c r="M76" s="2"/>
      <c r="N76" s="2"/>
    </row>
    <row r="77" spans="1:14" ht="15" customHeight="1">
      <c r="A77" s="4">
        <v>14</v>
      </c>
      <c r="B77" s="4" t="s">
        <v>10</v>
      </c>
      <c r="C77" s="4">
        <v>76</v>
      </c>
      <c r="D77" s="4">
        <v>6</v>
      </c>
      <c r="E77" s="4">
        <v>6</v>
      </c>
      <c r="F77" s="4">
        <v>15</v>
      </c>
      <c r="G77" s="4">
        <v>936</v>
      </c>
      <c r="H77" s="5" t="s">
        <v>11</v>
      </c>
      <c r="I77" s="2" t="s">
        <v>31</v>
      </c>
      <c r="J77" s="2"/>
      <c r="K77" s="2"/>
      <c r="L77" s="2"/>
      <c r="M77" s="2"/>
      <c r="N77" s="2"/>
    </row>
    <row r="78" spans="1:14" ht="15" customHeight="1">
      <c r="A78" s="4">
        <v>18</v>
      </c>
      <c r="B78" s="4" t="s">
        <v>10</v>
      </c>
      <c r="C78" s="4">
        <v>76</v>
      </c>
      <c r="D78" s="4">
        <v>4.5</v>
      </c>
      <c r="E78" s="4">
        <v>6</v>
      </c>
      <c r="F78" s="4">
        <v>20</v>
      </c>
      <c r="G78" s="4">
        <v>940</v>
      </c>
      <c r="H78" s="5" t="s">
        <v>11</v>
      </c>
      <c r="I78" s="2" t="s">
        <v>31</v>
      </c>
      <c r="J78" s="2"/>
      <c r="K78" s="2"/>
      <c r="L78" s="2"/>
      <c r="M78" s="2"/>
      <c r="N78" s="2"/>
    </row>
    <row r="79" spans="1:14" ht="15" customHeight="1">
      <c r="A79" s="4">
        <v>19</v>
      </c>
      <c r="B79" s="4" t="s">
        <v>10</v>
      </c>
      <c r="C79" s="4">
        <v>76</v>
      </c>
      <c r="D79" s="4">
        <v>4.5</v>
      </c>
      <c r="E79" s="4">
        <v>6</v>
      </c>
      <c r="F79" s="4">
        <v>19</v>
      </c>
      <c r="G79" s="4">
        <v>893</v>
      </c>
      <c r="H79" s="5" t="s">
        <v>11</v>
      </c>
      <c r="I79" s="2" t="s">
        <v>31</v>
      </c>
      <c r="J79" s="2"/>
      <c r="K79" s="2"/>
      <c r="L79" s="2"/>
      <c r="M79" s="2"/>
      <c r="N79" s="2"/>
    </row>
    <row r="80" spans="1:14" ht="15" customHeight="1">
      <c r="A80" s="4">
        <v>20</v>
      </c>
      <c r="B80" s="4" t="s">
        <v>10</v>
      </c>
      <c r="C80" s="4">
        <v>76</v>
      </c>
      <c r="D80" s="4">
        <v>4.5</v>
      </c>
      <c r="E80" s="4">
        <v>6</v>
      </c>
      <c r="F80" s="4">
        <v>24</v>
      </c>
      <c r="G80" s="4">
        <v>1129</v>
      </c>
      <c r="H80" s="5" t="s">
        <v>11</v>
      </c>
      <c r="I80" s="2" t="s">
        <v>31</v>
      </c>
      <c r="J80" s="2"/>
      <c r="K80" s="2"/>
      <c r="L80" s="2"/>
      <c r="M80" s="2"/>
      <c r="N80" s="2"/>
    </row>
    <row r="81" spans="1:14" ht="15" customHeight="1">
      <c r="A81" s="4">
        <v>25</v>
      </c>
      <c r="B81" s="4" t="s">
        <v>10</v>
      </c>
      <c r="C81" s="4">
        <v>76</v>
      </c>
      <c r="D81" s="4">
        <v>4</v>
      </c>
      <c r="E81" s="4">
        <v>6</v>
      </c>
      <c r="F81" s="4">
        <v>15</v>
      </c>
      <c r="G81" s="4">
        <v>651</v>
      </c>
      <c r="H81" s="5" t="s">
        <v>11</v>
      </c>
      <c r="I81" s="2" t="s">
        <v>31</v>
      </c>
      <c r="J81" s="2"/>
      <c r="K81" s="2"/>
      <c r="L81" s="2"/>
      <c r="M81" s="2"/>
      <c r="N81" s="2"/>
    </row>
    <row r="82" spans="1:14" ht="15" customHeight="1">
      <c r="A82" s="4">
        <v>27</v>
      </c>
      <c r="B82" s="4" t="s">
        <v>10</v>
      </c>
      <c r="C82" s="4">
        <v>108</v>
      </c>
      <c r="D82" s="4">
        <v>3.5</v>
      </c>
      <c r="E82" s="4">
        <v>6</v>
      </c>
      <c r="F82" s="4">
        <v>14</v>
      </c>
      <c r="G82" s="4">
        <v>753</v>
      </c>
      <c r="H82" s="5" t="s">
        <v>11</v>
      </c>
      <c r="I82" s="2" t="s">
        <v>31</v>
      </c>
      <c r="J82" s="2"/>
      <c r="K82" s="2"/>
      <c r="L82" s="2"/>
      <c r="M82" s="2"/>
      <c r="N82" s="2"/>
    </row>
    <row r="83" spans="1:14" ht="15" customHeight="1">
      <c r="A83" s="4">
        <v>28</v>
      </c>
      <c r="B83" s="4" t="s">
        <v>10</v>
      </c>
      <c r="C83" s="4">
        <v>108</v>
      </c>
      <c r="D83" s="4">
        <v>3.5</v>
      </c>
      <c r="E83" s="4">
        <v>6</v>
      </c>
      <c r="F83" s="4">
        <v>13</v>
      </c>
      <c r="G83" s="4">
        <v>710</v>
      </c>
      <c r="H83" s="5" t="s">
        <v>11</v>
      </c>
      <c r="I83" s="2" t="s">
        <v>31</v>
      </c>
      <c r="J83" s="2"/>
      <c r="K83" s="2"/>
      <c r="L83" s="2"/>
      <c r="M83" s="2"/>
      <c r="N83" s="2"/>
    </row>
    <row r="84" spans="1:14" ht="15" customHeight="1">
      <c r="A84" s="4"/>
      <c r="B84" s="4"/>
      <c r="C84" s="4"/>
      <c r="D84" s="4"/>
      <c r="E84" s="4"/>
      <c r="F84" s="4">
        <v>142</v>
      </c>
      <c r="G84" s="4">
        <f>SUM(G75:G83)</f>
        <v>7390</v>
      </c>
      <c r="H84" s="4"/>
      <c r="I84" s="2"/>
      <c r="J84" s="2"/>
      <c r="K84" s="2"/>
      <c r="L84" s="2"/>
      <c r="M84" s="2"/>
      <c r="N84" s="2"/>
    </row>
    <row r="85" spans="1:1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" customHeight="1">
      <c r="A95" s="4" t="s">
        <v>1</v>
      </c>
      <c r="B95" s="4" t="s">
        <v>2</v>
      </c>
      <c r="C95" s="4" t="s">
        <v>3</v>
      </c>
      <c r="D95" s="4" t="s">
        <v>4</v>
      </c>
      <c r="E95" s="4" t="s">
        <v>5</v>
      </c>
      <c r="F95" s="4" t="s">
        <v>6</v>
      </c>
      <c r="G95" s="4" t="s">
        <v>7</v>
      </c>
      <c r="H95" s="4" t="s">
        <v>8</v>
      </c>
      <c r="I95" s="2"/>
      <c r="J95" s="2"/>
      <c r="K95" s="2"/>
      <c r="L95" s="2"/>
      <c r="M95" s="2"/>
      <c r="N95" s="2"/>
    </row>
    <row r="96" spans="1:14" ht="15" customHeight="1">
      <c r="A96" s="4">
        <v>11</v>
      </c>
      <c r="B96" s="4" t="s">
        <v>10</v>
      </c>
      <c r="C96" s="4">
        <v>133</v>
      </c>
      <c r="D96" s="4">
        <v>5</v>
      </c>
      <c r="E96" s="4">
        <v>6</v>
      </c>
      <c r="F96" s="4">
        <v>13</v>
      </c>
      <c r="G96" s="4">
        <v>1245</v>
      </c>
      <c r="H96" s="5" t="s">
        <v>11</v>
      </c>
      <c r="I96" s="2" t="s">
        <v>32</v>
      </c>
      <c r="J96" s="2"/>
      <c r="K96" s="2"/>
      <c r="L96" s="2"/>
      <c r="M96" s="2"/>
      <c r="N96" s="2"/>
    </row>
    <row r="97" spans="1:14" ht="15" customHeight="1">
      <c r="A97" s="4">
        <v>12</v>
      </c>
      <c r="B97" s="4" t="s">
        <v>10</v>
      </c>
      <c r="C97" s="4">
        <v>133</v>
      </c>
      <c r="D97" s="4">
        <v>5</v>
      </c>
      <c r="E97" s="4">
        <v>6</v>
      </c>
      <c r="F97" s="4">
        <v>9</v>
      </c>
      <c r="G97" s="4">
        <v>851</v>
      </c>
      <c r="H97" s="5" t="s">
        <v>11</v>
      </c>
      <c r="I97" s="2" t="s">
        <v>32</v>
      </c>
      <c r="J97" s="2"/>
      <c r="K97" s="2"/>
      <c r="L97" s="2"/>
      <c r="M97" s="2"/>
      <c r="N97" s="2"/>
    </row>
    <row r="98" spans="1:14" ht="15" customHeight="1">
      <c r="A98" s="4">
        <v>13</v>
      </c>
      <c r="B98" s="4" t="s">
        <v>10</v>
      </c>
      <c r="C98" s="4">
        <v>168</v>
      </c>
      <c r="D98" s="4">
        <v>7</v>
      </c>
      <c r="E98" s="4">
        <v>6</v>
      </c>
      <c r="F98" s="4">
        <v>1</v>
      </c>
      <c r="G98" s="4">
        <v>153</v>
      </c>
      <c r="H98" s="5" t="s">
        <v>11</v>
      </c>
      <c r="I98" s="2" t="s">
        <v>32</v>
      </c>
      <c r="J98" s="2"/>
      <c r="K98" s="2"/>
      <c r="L98" s="2"/>
      <c r="M98" s="2"/>
      <c r="N98" s="2"/>
    </row>
    <row r="99" spans="1:14" ht="15" customHeight="1">
      <c r="A99" s="4">
        <v>14</v>
      </c>
      <c r="B99" s="4" t="s">
        <v>10</v>
      </c>
      <c r="C99" s="4">
        <v>168</v>
      </c>
      <c r="D99" s="4">
        <v>7</v>
      </c>
      <c r="E99" s="4">
        <v>6</v>
      </c>
      <c r="F99" s="4">
        <v>7</v>
      </c>
      <c r="G99" s="4">
        <v>1184</v>
      </c>
      <c r="H99" s="5" t="s">
        <v>11</v>
      </c>
      <c r="I99" s="2" t="s">
        <v>32</v>
      </c>
      <c r="J99" s="2"/>
      <c r="K99" s="2"/>
      <c r="L99" s="2"/>
      <c r="M99" s="2"/>
      <c r="N99" s="2"/>
    </row>
    <row r="100" spans="1:14" ht="15" customHeight="1">
      <c r="A100" s="4">
        <v>15</v>
      </c>
      <c r="B100" s="4" t="s">
        <v>10</v>
      </c>
      <c r="C100" s="4">
        <v>219</v>
      </c>
      <c r="D100" s="4">
        <v>10</v>
      </c>
      <c r="E100" s="4">
        <v>6</v>
      </c>
      <c r="F100" s="4">
        <v>4</v>
      </c>
      <c r="G100" s="4">
        <v>1260</v>
      </c>
      <c r="H100" s="5" t="s">
        <v>11</v>
      </c>
      <c r="I100" s="2" t="s">
        <v>32</v>
      </c>
      <c r="J100" s="2"/>
      <c r="K100" s="2"/>
      <c r="L100" s="2"/>
      <c r="M100" s="2"/>
      <c r="N100" s="2"/>
    </row>
    <row r="101" spans="1:14" ht="15" customHeight="1">
      <c r="A101" s="4">
        <v>16</v>
      </c>
      <c r="B101" s="4" t="s">
        <v>10</v>
      </c>
      <c r="C101" s="4">
        <v>219</v>
      </c>
      <c r="D101" s="4">
        <v>10</v>
      </c>
      <c r="E101" s="4">
        <v>6</v>
      </c>
      <c r="F101" s="4">
        <v>4</v>
      </c>
      <c r="G101" s="4">
        <v>1261</v>
      </c>
      <c r="H101" s="5" t="s">
        <v>11</v>
      </c>
      <c r="I101" s="2" t="s">
        <v>32</v>
      </c>
      <c r="J101" s="2"/>
      <c r="K101" s="2"/>
      <c r="L101" s="2"/>
      <c r="M101" s="2"/>
      <c r="N101" s="2"/>
    </row>
    <row r="102" spans="1:14" ht="15" customHeight="1">
      <c r="A102" s="4">
        <v>17</v>
      </c>
      <c r="B102" s="4" t="s">
        <v>10</v>
      </c>
      <c r="C102" s="4">
        <v>219</v>
      </c>
      <c r="D102" s="4">
        <v>10</v>
      </c>
      <c r="E102" s="4">
        <v>6</v>
      </c>
      <c r="F102" s="4">
        <v>2</v>
      </c>
      <c r="G102" s="4">
        <v>634</v>
      </c>
      <c r="H102" s="5" t="s">
        <v>11</v>
      </c>
      <c r="I102" s="2" t="s">
        <v>32</v>
      </c>
      <c r="J102" s="2"/>
      <c r="K102" s="2"/>
      <c r="L102" s="2"/>
      <c r="M102" s="2"/>
      <c r="N102" s="2"/>
    </row>
    <row r="103" spans="1:14" ht="15" customHeight="1">
      <c r="A103" s="4">
        <v>18</v>
      </c>
      <c r="B103" s="4" t="s">
        <v>10</v>
      </c>
      <c r="C103" s="4">
        <v>273</v>
      </c>
      <c r="D103" s="4">
        <v>6</v>
      </c>
      <c r="E103" s="4">
        <v>6</v>
      </c>
      <c r="F103" s="4">
        <v>4</v>
      </c>
      <c r="G103" s="4">
        <v>1006</v>
      </c>
      <c r="H103" s="5" t="s">
        <v>11</v>
      </c>
      <c r="I103" s="2" t="s">
        <v>32</v>
      </c>
      <c r="J103" s="2"/>
      <c r="K103" s="2"/>
      <c r="L103" s="2"/>
      <c r="M103" s="2"/>
      <c r="N103" s="2"/>
    </row>
    <row r="104" spans="1:14" ht="15" customHeight="1">
      <c r="A104" s="4">
        <v>19</v>
      </c>
      <c r="B104" s="4" t="s">
        <v>10</v>
      </c>
      <c r="C104" s="4">
        <v>273</v>
      </c>
      <c r="D104" s="4">
        <v>6</v>
      </c>
      <c r="E104" s="4">
        <v>6</v>
      </c>
      <c r="F104" s="4">
        <v>4</v>
      </c>
      <c r="G104" s="4">
        <v>1004</v>
      </c>
      <c r="H104" s="5" t="s">
        <v>11</v>
      </c>
      <c r="I104" s="2" t="s">
        <v>32</v>
      </c>
      <c r="J104" s="2"/>
      <c r="K104" s="2"/>
      <c r="L104" s="2"/>
      <c r="M104" s="2"/>
      <c r="N104" s="2"/>
    </row>
    <row r="105" spans="1:14" ht="15" customHeight="1">
      <c r="A105" s="4">
        <v>20</v>
      </c>
      <c r="B105" s="4" t="s">
        <v>10</v>
      </c>
      <c r="C105" s="4">
        <v>273</v>
      </c>
      <c r="D105" s="4">
        <v>6</v>
      </c>
      <c r="E105" s="4">
        <v>6</v>
      </c>
      <c r="F105" s="4">
        <v>2</v>
      </c>
      <c r="G105" s="4">
        <v>508</v>
      </c>
      <c r="H105" s="5" t="s">
        <v>11</v>
      </c>
      <c r="I105" s="2" t="s">
        <v>32</v>
      </c>
      <c r="J105" s="2"/>
      <c r="K105" s="2"/>
      <c r="L105" s="2"/>
      <c r="M105" s="2"/>
      <c r="N105" s="2"/>
    </row>
    <row r="106" spans="1:14" ht="15" customHeight="1">
      <c r="A106" s="4">
        <v>21</v>
      </c>
      <c r="B106" s="4" t="s">
        <v>10</v>
      </c>
      <c r="C106" s="4">
        <v>273</v>
      </c>
      <c r="D106" s="4">
        <v>6</v>
      </c>
      <c r="E106" s="4">
        <v>6</v>
      </c>
      <c r="F106" s="4">
        <v>2</v>
      </c>
      <c r="G106" s="4">
        <v>503</v>
      </c>
      <c r="H106" s="5" t="s">
        <v>11</v>
      </c>
      <c r="I106" s="2" t="s">
        <v>32</v>
      </c>
      <c r="J106" s="2"/>
      <c r="K106" s="2"/>
      <c r="L106" s="2"/>
      <c r="M106" s="2"/>
      <c r="N106" s="2"/>
    </row>
    <row r="107" spans="1:14" ht="15" customHeight="1">
      <c r="A107" s="4">
        <v>22</v>
      </c>
      <c r="B107" s="4" t="s">
        <v>10</v>
      </c>
      <c r="C107" s="4">
        <v>273</v>
      </c>
      <c r="D107" s="4">
        <v>8</v>
      </c>
      <c r="E107" s="4">
        <v>6</v>
      </c>
      <c r="F107" s="4">
        <v>4</v>
      </c>
      <c r="G107" s="4">
        <v>1319</v>
      </c>
      <c r="H107" s="5" t="s">
        <v>11</v>
      </c>
      <c r="I107" s="2" t="s">
        <v>32</v>
      </c>
      <c r="J107" s="2"/>
      <c r="K107" s="2"/>
      <c r="L107" s="2"/>
      <c r="M107" s="2"/>
      <c r="N107" s="2"/>
    </row>
    <row r="108" spans="1:14" ht="15" customHeight="1">
      <c r="A108" s="4">
        <v>26</v>
      </c>
      <c r="B108" s="4" t="s">
        <v>10</v>
      </c>
      <c r="C108" s="4">
        <v>219</v>
      </c>
      <c r="D108" s="4">
        <v>6</v>
      </c>
      <c r="E108" s="4">
        <v>6</v>
      </c>
      <c r="F108" s="12">
        <v>6</v>
      </c>
      <c r="G108" s="12">
        <v>1172</v>
      </c>
      <c r="H108" s="5" t="s">
        <v>11</v>
      </c>
      <c r="I108" s="2" t="s">
        <v>32</v>
      </c>
      <c r="J108" s="2"/>
      <c r="K108" s="2"/>
      <c r="L108" s="2"/>
      <c r="M108" s="2"/>
      <c r="N108" s="2"/>
    </row>
    <row r="109" spans="1:14" ht="15" customHeight="1">
      <c r="A109" s="4">
        <v>27</v>
      </c>
      <c r="B109" s="4" t="s">
        <v>10</v>
      </c>
      <c r="C109" s="4">
        <v>219</v>
      </c>
      <c r="D109" s="4">
        <v>6</v>
      </c>
      <c r="E109" s="4">
        <v>6</v>
      </c>
      <c r="F109" s="12">
        <v>3</v>
      </c>
      <c r="G109" s="12">
        <v>574</v>
      </c>
      <c r="H109" s="5" t="s">
        <v>11</v>
      </c>
      <c r="I109" s="2" t="s">
        <v>32</v>
      </c>
      <c r="J109" s="2"/>
      <c r="K109" s="2"/>
      <c r="L109" s="2"/>
      <c r="M109" s="2"/>
      <c r="N109" s="2"/>
    </row>
    <row r="110" spans="1:14" ht="15" customHeight="1">
      <c r="A110" s="4"/>
      <c r="B110" s="4"/>
      <c r="C110" s="4"/>
      <c r="D110" s="4"/>
      <c r="E110" s="4"/>
      <c r="F110" s="4">
        <v>65</v>
      </c>
      <c r="G110" s="4">
        <f>SUM(G96:G109)</f>
        <v>12674</v>
      </c>
      <c r="H110" s="4"/>
      <c r="I110" s="2"/>
      <c r="J110" s="2"/>
      <c r="K110" s="2"/>
      <c r="L110" s="2"/>
      <c r="M110" s="2"/>
      <c r="N110" s="2"/>
    </row>
    <row r="111" spans="1:14" ht="15" customHeight="1">
      <c r="A111" s="8"/>
      <c r="B111" s="8"/>
      <c r="C111" s="8"/>
      <c r="D111" s="8"/>
      <c r="E111" s="8"/>
      <c r="F111" s="8"/>
      <c r="G111" s="8"/>
      <c r="H111" s="8"/>
      <c r="I111" s="2"/>
      <c r="J111" s="2"/>
      <c r="K111" s="2"/>
      <c r="L111" s="2"/>
      <c r="M111" s="2"/>
      <c r="N111" s="2"/>
    </row>
    <row r="112" spans="1:14" ht="15" customHeight="1">
      <c r="A112" s="2"/>
      <c r="B112" s="2"/>
      <c r="C112" s="2"/>
      <c r="D112" s="2"/>
      <c r="E112" s="2"/>
      <c r="F112" s="2"/>
      <c r="G112" s="2"/>
      <c r="H112" s="2"/>
      <c r="I112" s="13" t="s">
        <v>33</v>
      </c>
      <c r="J112" s="13"/>
      <c r="K112" s="14"/>
      <c r="L112" s="2"/>
      <c r="M112" s="2"/>
      <c r="N112" s="2"/>
    </row>
    <row r="113" spans="1:1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>
      <c r="A118" s="106" t="s">
        <v>0</v>
      </c>
      <c r="B118" s="115"/>
      <c r="C118" s="115"/>
      <c r="D118" s="115"/>
      <c r="E118" s="115"/>
      <c r="F118" s="115"/>
      <c r="G118" s="115"/>
      <c r="H118" s="115"/>
      <c r="I118" s="2"/>
      <c r="J118" s="2"/>
      <c r="K118" s="2"/>
      <c r="L118" s="2"/>
      <c r="M118" s="2"/>
      <c r="N118" s="2"/>
    </row>
    <row r="119" spans="1:14" ht="15" customHeight="1">
      <c r="A119" s="4" t="s">
        <v>1</v>
      </c>
      <c r="B119" s="4" t="s">
        <v>2</v>
      </c>
      <c r="C119" s="4" t="s">
        <v>3</v>
      </c>
      <c r="D119" s="4" t="s">
        <v>4</v>
      </c>
      <c r="E119" s="4" t="s">
        <v>5</v>
      </c>
      <c r="F119" s="4" t="s">
        <v>6</v>
      </c>
      <c r="G119" s="4" t="s">
        <v>7</v>
      </c>
      <c r="H119" s="4" t="s">
        <v>8</v>
      </c>
      <c r="I119" s="2" t="s">
        <v>34</v>
      </c>
      <c r="J119" s="2"/>
      <c r="K119" s="2"/>
      <c r="L119" s="2"/>
      <c r="M119" s="2"/>
      <c r="N119" s="2"/>
    </row>
    <row r="120" spans="1:14" ht="15" customHeight="1">
      <c r="A120" s="4">
        <v>1</v>
      </c>
      <c r="B120" s="4" t="s">
        <v>10</v>
      </c>
      <c r="C120" s="4">
        <v>133</v>
      </c>
      <c r="D120" s="4">
        <v>6</v>
      </c>
      <c r="E120" s="4">
        <v>6</v>
      </c>
      <c r="F120" s="4">
        <v>9</v>
      </c>
      <c r="G120" s="4">
        <v>1032</v>
      </c>
      <c r="H120" s="5" t="s">
        <v>11</v>
      </c>
      <c r="I120" s="2" t="s">
        <v>34</v>
      </c>
      <c r="J120" s="2"/>
      <c r="K120" s="2"/>
      <c r="L120" s="2"/>
      <c r="M120" s="2"/>
      <c r="N120" s="2"/>
    </row>
    <row r="121" spans="1:14" ht="15" customHeight="1">
      <c r="A121" s="4">
        <v>4</v>
      </c>
      <c r="B121" s="4" t="s">
        <v>10</v>
      </c>
      <c r="C121" s="4">
        <v>159</v>
      </c>
      <c r="D121" s="4">
        <v>5</v>
      </c>
      <c r="E121" s="4">
        <v>6</v>
      </c>
      <c r="F121" s="4">
        <v>3</v>
      </c>
      <c r="G121" s="4">
        <v>335</v>
      </c>
      <c r="H121" s="5" t="s">
        <v>11</v>
      </c>
      <c r="I121" s="2" t="s">
        <v>34</v>
      </c>
      <c r="J121" s="2"/>
      <c r="K121" s="2"/>
      <c r="L121" s="2"/>
      <c r="M121" s="2"/>
      <c r="N121" s="2"/>
    </row>
    <row r="122" spans="1:14" ht="15" customHeight="1">
      <c r="A122" s="4">
        <v>5</v>
      </c>
      <c r="B122" s="4" t="s">
        <v>10</v>
      </c>
      <c r="C122" s="4">
        <v>159</v>
      </c>
      <c r="D122" s="4">
        <v>5</v>
      </c>
      <c r="E122" s="4">
        <v>6</v>
      </c>
      <c r="F122" s="4">
        <v>4</v>
      </c>
      <c r="G122" s="4">
        <v>446</v>
      </c>
      <c r="H122" s="5" t="s">
        <v>11</v>
      </c>
      <c r="I122" s="2" t="s">
        <v>34</v>
      </c>
      <c r="J122" s="2"/>
      <c r="K122" s="2"/>
      <c r="L122" s="2"/>
      <c r="M122" s="2"/>
      <c r="N122" s="2"/>
    </row>
    <row r="123" spans="1:14" ht="15" customHeight="1">
      <c r="A123" s="4">
        <v>8</v>
      </c>
      <c r="B123" s="4" t="s">
        <v>10</v>
      </c>
      <c r="C123" s="4">
        <v>168</v>
      </c>
      <c r="D123" s="4">
        <v>7</v>
      </c>
      <c r="E123" s="4">
        <v>6</v>
      </c>
      <c r="F123" s="4">
        <v>5</v>
      </c>
      <c r="G123" s="4">
        <v>856</v>
      </c>
      <c r="H123" s="5" t="s">
        <v>11</v>
      </c>
      <c r="I123" s="2" t="s">
        <v>34</v>
      </c>
      <c r="J123" s="2"/>
      <c r="K123" s="2"/>
      <c r="L123" s="2"/>
      <c r="M123" s="2"/>
      <c r="N123" s="2"/>
    </row>
    <row r="124" spans="1:14" ht="15" customHeight="1">
      <c r="A124" s="4">
        <v>9</v>
      </c>
      <c r="B124" s="4" t="s">
        <v>10</v>
      </c>
      <c r="C124" s="4">
        <v>219.1</v>
      </c>
      <c r="D124" s="4">
        <v>12.7</v>
      </c>
      <c r="E124" s="4">
        <v>6</v>
      </c>
      <c r="F124" s="4">
        <v>3</v>
      </c>
      <c r="G124" s="4">
        <v>1116</v>
      </c>
      <c r="H124" s="5" t="s">
        <v>11</v>
      </c>
      <c r="I124" s="2" t="s">
        <v>34</v>
      </c>
      <c r="J124" s="2"/>
      <c r="K124" s="2"/>
      <c r="L124" s="2"/>
      <c r="M124" s="2"/>
      <c r="N124" s="2"/>
    </row>
    <row r="125" spans="1:14" ht="15" customHeight="1">
      <c r="A125" s="4">
        <v>10</v>
      </c>
      <c r="B125" s="4" t="s">
        <v>10</v>
      </c>
      <c r="C125" s="4">
        <v>219.1</v>
      </c>
      <c r="D125" s="4">
        <v>12.7</v>
      </c>
      <c r="E125" s="4">
        <v>6</v>
      </c>
      <c r="F125" s="4">
        <v>3</v>
      </c>
      <c r="G125" s="4">
        <v>1096</v>
      </c>
      <c r="H125" s="5" t="s">
        <v>11</v>
      </c>
      <c r="I125" s="2" t="s">
        <v>34</v>
      </c>
      <c r="J125" s="2"/>
      <c r="K125" s="2"/>
      <c r="L125" s="2"/>
      <c r="M125" s="2"/>
      <c r="N125" s="2"/>
    </row>
    <row r="126" spans="1:14" ht="15" customHeight="1">
      <c r="A126" s="4">
        <v>11</v>
      </c>
      <c r="B126" s="4" t="s">
        <v>10</v>
      </c>
      <c r="C126" s="4">
        <v>219.1</v>
      </c>
      <c r="D126" s="4">
        <v>12.7</v>
      </c>
      <c r="E126" s="4">
        <v>6</v>
      </c>
      <c r="F126" s="4">
        <v>3</v>
      </c>
      <c r="G126" s="4">
        <v>1097</v>
      </c>
      <c r="H126" s="5" t="s">
        <v>11</v>
      </c>
      <c r="I126" s="2" t="s">
        <v>34</v>
      </c>
      <c r="J126" s="2"/>
      <c r="K126" s="2"/>
      <c r="L126" s="2"/>
      <c r="M126" s="2"/>
      <c r="N126" s="2"/>
    </row>
    <row r="127" spans="1:14" ht="15" customHeight="1">
      <c r="A127" s="4">
        <v>13</v>
      </c>
      <c r="B127" s="4" t="s">
        <v>10</v>
      </c>
      <c r="C127" s="4">
        <v>27</v>
      </c>
      <c r="D127" s="4">
        <v>3</v>
      </c>
      <c r="E127" s="4">
        <v>6</v>
      </c>
      <c r="F127" s="4">
        <v>69</v>
      </c>
      <c r="G127" s="4">
        <v>736</v>
      </c>
      <c r="H127" s="5" t="s">
        <v>11</v>
      </c>
      <c r="I127" s="2" t="s">
        <v>34</v>
      </c>
      <c r="J127" s="2"/>
      <c r="K127" s="2"/>
      <c r="L127" s="2"/>
      <c r="M127" s="2"/>
      <c r="N127" s="2"/>
    </row>
    <row r="128" spans="1:14" ht="15" customHeight="1">
      <c r="A128" s="4">
        <v>14</v>
      </c>
      <c r="B128" s="4" t="s">
        <v>10</v>
      </c>
      <c r="C128" s="4">
        <v>38</v>
      </c>
      <c r="D128" s="4">
        <v>4</v>
      </c>
      <c r="E128" s="4">
        <v>6</v>
      </c>
      <c r="F128" s="4">
        <v>13</v>
      </c>
      <c r="G128" s="4">
        <v>270</v>
      </c>
      <c r="H128" s="5" t="s">
        <v>11</v>
      </c>
      <c r="I128" s="2" t="s">
        <v>34</v>
      </c>
      <c r="J128" s="2"/>
      <c r="K128" s="2"/>
      <c r="L128" s="2"/>
      <c r="M128" s="2"/>
      <c r="N128" s="2"/>
    </row>
    <row r="129" spans="1:14" ht="15" customHeight="1">
      <c r="A129" s="4">
        <v>15</v>
      </c>
      <c r="B129" s="4" t="s">
        <v>10</v>
      </c>
      <c r="C129" s="4">
        <v>38</v>
      </c>
      <c r="D129" s="4">
        <v>4</v>
      </c>
      <c r="E129" s="4">
        <v>6</v>
      </c>
      <c r="F129" s="4">
        <v>40</v>
      </c>
      <c r="G129" s="4">
        <v>823</v>
      </c>
      <c r="H129" s="5" t="s">
        <v>11</v>
      </c>
      <c r="I129" s="2" t="s">
        <v>34</v>
      </c>
      <c r="J129" s="2"/>
      <c r="K129" s="2"/>
      <c r="L129" s="2"/>
      <c r="M129" s="2"/>
      <c r="N129" s="2"/>
    </row>
    <row r="130" spans="1:14" ht="15" customHeight="1">
      <c r="A130" s="4">
        <v>16</v>
      </c>
      <c r="B130" s="4" t="s">
        <v>10</v>
      </c>
      <c r="C130" s="4">
        <v>38</v>
      </c>
      <c r="D130" s="4">
        <v>4</v>
      </c>
      <c r="E130" s="4">
        <v>6</v>
      </c>
      <c r="F130" s="4">
        <v>36</v>
      </c>
      <c r="G130" s="4">
        <v>738</v>
      </c>
      <c r="H130" s="5" t="s">
        <v>11</v>
      </c>
      <c r="I130" s="2" t="s">
        <v>34</v>
      </c>
      <c r="J130" s="2"/>
      <c r="K130" s="2"/>
      <c r="L130" s="2"/>
      <c r="M130" s="2"/>
      <c r="N130" s="2"/>
    </row>
    <row r="131" spans="1:14" ht="15" customHeight="1">
      <c r="A131" s="4">
        <v>17</v>
      </c>
      <c r="B131" s="4" t="s">
        <v>10</v>
      </c>
      <c r="C131" s="4">
        <v>38</v>
      </c>
      <c r="D131" s="4">
        <v>4</v>
      </c>
      <c r="E131" s="4">
        <v>6</v>
      </c>
      <c r="F131" s="4">
        <v>36</v>
      </c>
      <c r="G131" s="4">
        <v>739</v>
      </c>
      <c r="H131" s="5" t="s">
        <v>11</v>
      </c>
      <c r="I131" s="2" t="s">
        <v>34</v>
      </c>
      <c r="J131" s="2"/>
      <c r="K131" s="2"/>
      <c r="L131" s="2"/>
      <c r="M131" s="2"/>
      <c r="N131" s="2"/>
    </row>
    <row r="132" spans="1:14" ht="15" customHeight="1">
      <c r="A132" s="4">
        <v>18</v>
      </c>
      <c r="B132" s="4" t="s">
        <v>10</v>
      </c>
      <c r="C132" s="4">
        <v>38</v>
      </c>
      <c r="D132" s="4">
        <v>5</v>
      </c>
      <c r="E132" s="4">
        <v>6</v>
      </c>
      <c r="F132" s="4">
        <v>19</v>
      </c>
      <c r="G132" s="4">
        <v>460</v>
      </c>
      <c r="H132" s="5" t="s">
        <v>11</v>
      </c>
      <c r="I132" s="2" t="s">
        <v>34</v>
      </c>
      <c r="J132" s="2"/>
      <c r="K132" s="2"/>
      <c r="L132" s="2"/>
      <c r="M132" s="2"/>
      <c r="N132" s="2"/>
    </row>
    <row r="133" spans="1:14" ht="15" customHeight="1">
      <c r="A133" s="4">
        <v>19</v>
      </c>
      <c r="B133" s="4" t="s">
        <v>10</v>
      </c>
      <c r="C133" s="4">
        <v>38</v>
      </c>
      <c r="D133" s="4">
        <v>5</v>
      </c>
      <c r="E133" s="4">
        <v>6</v>
      </c>
      <c r="F133" s="4">
        <v>33</v>
      </c>
      <c r="G133" s="4">
        <v>800</v>
      </c>
      <c r="H133" s="5" t="s">
        <v>11</v>
      </c>
      <c r="I133" s="2" t="s">
        <v>34</v>
      </c>
      <c r="J133" s="2"/>
      <c r="K133" s="2"/>
      <c r="L133" s="2"/>
      <c r="M133" s="2"/>
      <c r="N133" s="2"/>
    </row>
    <row r="134" spans="1:14" ht="15" customHeight="1">
      <c r="A134" s="4">
        <v>20</v>
      </c>
      <c r="B134" s="4" t="s">
        <v>10</v>
      </c>
      <c r="C134" s="4">
        <v>38</v>
      </c>
      <c r="D134" s="4">
        <v>6</v>
      </c>
      <c r="E134" s="4">
        <v>6</v>
      </c>
      <c r="F134" s="4">
        <v>37</v>
      </c>
      <c r="G134" s="4">
        <v>1050</v>
      </c>
      <c r="H134" s="5" t="s">
        <v>11</v>
      </c>
      <c r="I134" s="2" t="s">
        <v>34</v>
      </c>
      <c r="J134" s="2"/>
      <c r="K134" s="2"/>
      <c r="L134" s="2"/>
      <c r="M134" s="2"/>
      <c r="N134" s="2"/>
    </row>
    <row r="135" spans="1:14" ht="15" customHeight="1">
      <c r="A135" s="4">
        <v>21</v>
      </c>
      <c r="B135" s="4" t="s">
        <v>10</v>
      </c>
      <c r="C135" s="4">
        <v>38</v>
      </c>
      <c r="D135" s="4">
        <v>6</v>
      </c>
      <c r="E135" s="4">
        <v>6</v>
      </c>
      <c r="F135" s="4">
        <v>35</v>
      </c>
      <c r="G135" s="4">
        <v>989</v>
      </c>
      <c r="H135" s="5" t="s">
        <v>11</v>
      </c>
      <c r="I135" s="2" t="s">
        <v>34</v>
      </c>
      <c r="J135" s="2"/>
      <c r="K135" s="2"/>
      <c r="L135" s="2"/>
      <c r="M135" s="2"/>
      <c r="N135" s="2"/>
    </row>
    <row r="136" spans="1:14" ht="15" customHeight="1">
      <c r="A136" s="4">
        <v>22</v>
      </c>
      <c r="B136" s="4" t="s">
        <v>10</v>
      </c>
      <c r="C136" s="4">
        <v>38</v>
      </c>
      <c r="D136" s="4">
        <v>6</v>
      </c>
      <c r="E136" s="4">
        <v>6</v>
      </c>
      <c r="F136" s="4">
        <v>30</v>
      </c>
      <c r="G136" s="4">
        <v>846</v>
      </c>
      <c r="H136" s="5" t="s">
        <v>11</v>
      </c>
      <c r="I136" s="2" t="s">
        <v>34</v>
      </c>
      <c r="J136" s="2"/>
      <c r="K136" s="2"/>
      <c r="L136" s="2"/>
      <c r="M136" s="2"/>
      <c r="N136" s="2"/>
    </row>
    <row r="137" spans="1:14" ht="15" customHeight="1">
      <c r="A137" s="4">
        <v>23</v>
      </c>
      <c r="B137" s="4" t="s">
        <v>10</v>
      </c>
      <c r="C137" s="4">
        <v>38</v>
      </c>
      <c r="D137" s="4">
        <v>6</v>
      </c>
      <c r="E137" s="4">
        <v>6</v>
      </c>
      <c r="F137" s="4">
        <v>27</v>
      </c>
      <c r="G137" s="4">
        <v>762</v>
      </c>
      <c r="H137" s="5" t="s">
        <v>11</v>
      </c>
      <c r="I137" s="2" t="s">
        <v>34</v>
      </c>
      <c r="J137" s="2"/>
      <c r="K137" s="2"/>
      <c r="L137" s="2"/>
      <c r="M137" s="2"/>
      <c r="N137" s="2"/>
    </row>
    <row r="138" spans="1:14" ht="15" customHeight="1">
      <c r="A138" s="4"/>
      <c r="B138" s="4"/>
      <c r="C138" s="4"/>
      <c r="D138" s="4"/>
      <c r="E138" s="4"/>
      <c r="F138" s="4"/>
      <c r="G138" s="4"/>
      <c r="H138" s="5"/>
      <c r="I138" s="2"/>
      <c r="J138" s="2"/>
      <c r="K138" s="2"/>
      <c r="L138" s="2"/>
      <c r="M138" s="2"/>
      <c r="N138" s="2"/>
    </row>
    <row r="139" spans="1:14" ht="15" customHeight="1">
      <c r="A139" s="4"/>
      <c r="B139" s="4"/>
      <c r="C139" s="4"/>
      <c r="D139" s="4"/>
      <c r="E139" s="4"/>
      <c r="F139" s="4">
        <v>405</v>
      </c>
      <c r="G139" s="4">
        <f>SUM(G120:G137)</f>
        <v>14191</v>
      </c>
      <c r="H139" s="4"/>
      <c r="I139" s="2"/>
      <c r="J139" s="2"/>
      <c r="K139" s="2"/>
      <c r="L139" s="2"/>
      <c r="M139" s="2"/>
      <c r="N139" s="2"/>
    </row>
    <row r="140" spans="1:1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5" customHeight="1">
      <c r="A146" s="4" t="s">
        <v>1</v>
      </c>
      <c r="B146" s="4" t="s">
        <v>2</v>
      </c>
      <c r="C146" s="4" t="s">
        <v>3</v>
      </c>
      <c r="D146" s="4" t="s">
        <v>4</v>
      </c>
      <c r="E146" s="4" t="s">
        <v>5</v>
      </c>
      <c r="F146" s="4" t="s">
        <v>6</v>
      </c>
      <c r="G146" s="4" t="s">
        <v>7</v>
      </c>
      <c r="H146" s="4" t="s">
        <v>8</v>
      </c>
      <c r="I146" s="2"/>
      <c r="J146" s="2"/>
      <c r="K146" s="2"/>
      <c r="L146" s="2"/>
      <c r="M146" s="2"/>
      <c r="N146" s="2"/>
    </row>
    <row r="147" spans="1:14" ht="15" customHeight="1">
      <c r="A147" s="4">
        <v>4</v>
      </c>
      <c r="B147" s="4" t="s">
        <v>10</v>
      </c>
      <c r="C147" s="4">
        <v>38</v>
      </c>
      <c r="D147" s="4">
        <v>3</v>
      </c>
      <c r="E147" s="4">
        <v>6</v>
      </c>
      <c r="F147" s="4">
        <v>15</v>
      </c>
      <c r="G147" s="4">
        <v>209</v>
      </c>
      <c r="H147" s="5" t="s">
        <v>11</v>
      </c>
      <c r="I147" s="2" t="s">
        <v>35</v>
      </c>
      <c r="J147" s="2"/>
      <c r="K147" s="2"/>
      <c r="L147" s="2"/>
      <c r="M147" s="2"/>
      <c r="N147" s="2"/>
    </row>
    <row r="148" spans="1:14" ht="15" customHeight="1">
      <c r="A148" s="4">
        <v>5</v>
      </c>
      <c r="B148" s="4" t="s">
        <v>10</v>
      </c>
      <c r="C148" s="4">
        <v>38</v>
      </c>
      <c r="D148" s="4">
        <v>3</v>
      </c>
      <c r="E148" s="4">
        <v>6</v>
      </c>
      <c r="F148" s="4">
        <v>63</v>
      </c>
      <c r="G148" s="4">
        <v>985</v>
      </c>
      <c r="H148" s="5" t="s">
        <v>11</v>
      </c>
      <c r="I148" s="2" t="s">
        <v>35</v>
      </c>
      <c r="J148" s="2"/>
      <c r="K148" s="2"/>
      <c r="L148" s="2"/>
      <c r="M148" s="2"/>
      <c r="N148" s="2"/>
    </row>
    <row r="149" spans="1:14" ht="15" customHeight="1">
      <c r="A149" s="4">
        <v>6</v>
      </c>
      <c r="B149" s="4" t="s">
        <v>10</v>
      </c>
      <c r="C149" s="4">
        <v>38</v>
      </c>
      <c r="D149" s="4">
        <v>3</v>
      </c>
      <c r="E149" s="4">
        <v>6</v>
      </c>
      <c r="F149" s="4">
        <v>68</v>
      </c>
      <c r="G149" s="4">
        <v>1063</v>
      </c>
      <c r="H149" s="5" t="s">
        <v>11</v>
      </c>
      <c r="I149" s="2" t="s">
        <v>35</v>
      </c>
      <c r="J149" s="2"/>
      <c r="K149" s="2"/>
      <c r="L149" s="2"/>
      <c r="M149" s="2"/>
      <c r="N149" s="2"/>
    </row>
    <row r="150" spans="1:14" ht="15" customHeight="1">
      <c r="A150" s="4">
        <v>10</v>
      </c>
      <c r="B150" s="4" t="s">
        <v>10</v>
      </c>
      <c r="C150" s="4">
        <v>45</v>
      </c>
      <c r="D150" s="4">
        <v>3</v>
      </c>
      <c r="E150" s="4">
        <v>6</v>
      </c>
      <c r="F150" s="4">
        <v>45</v>
      </c>
      <c r="G150" s="4">
        <v>873</v>
      </c>
      <c r="H150" s="5" t="s">
        <v>11</v>
      </c>
      <c r="I150" s="2" t="s">
        <v>35</v>
      </c>
      <c r="J150" s="2"/>
      <c r="K150" s="2"/>
      <c r="L150" s="2"/>
      <c r="M150" s="2"/>
      <c r="N150" s="2"/>
    </row>
    <row r="151" spans="1:14" ht="15" customHeight="1">
      <c r="A151" s="4">
        <v>11</v>
      </c>
      <c r="B151" s="4" t="s">
        <v>10</v>
      </c>
      <c r="C151" s="4">
        <v>45</v>
      </c>
      <c r="D151" s="4">
        <v>3</v>
      </c>
      <c r="E151" s="4">
        <v>6</v>
      </c>
      <c r="F151" s="4">
        <v>58</v>
      </c>
      <c r="G151" s="4">
        <v>1137</v>
      </c>
      <c r="H151" s="5" t="s">
        <v>11</v>
      </c>
      <c r="I151" s="2" t="s">
        <v>35</v>
      </c>
      <c r="J151" s="2"/>
      <c r="K151" s="2"/>
      <c r="L151" s="2"/>
      <c r="M151" s="2"/>
      <c r="N151" s="2"/>
    </row>
    <row r="152" spans="1:14" ht="15" customHeight="1">
      <c r="A152" s="4">
        <v>12</v>
      </c>
      <c r="B152" s="4" t="s">
        <v>10</v>
      </c>
      <c r="C152" s="4">
        <v>45</v>
      </c>
      <c r="D152" s="4">
        <v>3</v>
      </c>
      <c r="E152" s="4">
        <v>6</v>
      </c>
      <c r="F152" s="4">
        <v>56</v>
      </c>
      <c r="G152" s="4">
        <v>1073</v>
      </c>
      <c r="H152" s="5" t="s">
        <v>11</v>
      </c>
      <c r="I152" s="2" t="s">
        <v>35</v>
      </c>
      <c r="J152" s="2"/>
      <c r="K152" s="2"/>
      <c r="L152" s="2"/>
      <c r="M152" s="2"/>
      <c r="N152" s="2"/>
    </row>
    <row r="153" spans="1:14" ht="15" customHeight="1">
      <c r="A153" s="4">
        <v>18</v>
      </c>
      <c r="B153" s="4" t="s">
        <v>10</v>
      </c>
      <c r="C153" s="4">
        <v>76</v>
      </c>
      <c r="D153" s="4">
        <v>4</v>
      </c>
      <c r="E153" s="4">
        <v>6</v>
      </c>
      <c r="F153" s="4">
        <v>33</v>
      </c>
      <c r="G153" s="4">
        <v>1426</v>
      </c>
      <c r="H153" s="5" t="s">
        <v>11</v>
      </c>
      <c r="I153" s="2" t="s">
        <v>35</v>
      </c>
      <c r="J153" s="2"/>
      <c r="K153" s="2"/>
      <c r="L153" s="2"/>
      <c r="M153" s="2"/>
      <c r="N153" s="2"/>
    </row>
    <row r="154" spans="1:14" ht="15" customHeight="1">
      <c r="A154" s="4">
        <v>19</v>
      </c>
      <c r="B154" s="4" t="s">
        <v>10</v>
      </c>
      <c r="C154" s="4">
        <v>76</v>
      </c>
      <c r="D154" s="4">
        <v>4</v>
      </c>
      <c r="E154" s="4">
        <v>6</v>
      </c>
      <c r="F154" s="4">
        <v>28</v>
      </c>
      <c r="G154" s="4">
        <v>1173</v>
      </c>
      <c r="H154" s="5" t="s">
        <v>11</v>
      </c>
      <c r="I154" s="2" t="s">
        <v>35</v>
      </c>
      <c r="J154" s="2"/>
      <c r="K154" s="2"/>
      <c r="L154" s="2"/>
      <c r="M154" s="2"/>
      <c r="N154" s="2"/>
    </row>
    <row r="155" spans="1:14" ht="15" customHeight="1">
      <c r="A155" s="4"/>
      <c r="B155" s="4"/>
      <c r="C155" s="4"/>
      <c r="D155" s="4"/>
      <c r="E155" s="4"/>
      <c r="F155" s="4">
        <v>366</v>
      </c>
      <c r="G155" s="4">
        <f>SUM(G147:G154)</f>
        <v>7939</v>
      </c>
      <c r="H155" s="4"/>
      <c r="I155" s="2"/>
      <c r="J155" s="2"/>
      <c r="K155" s="2"/>
      <c r="L155" s="2"/>
      <c r="M155" s="2"/>
      <c r="N155" s="2"/>
    </row>
    <row r="156" spans="1:1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5" customHeight="1">
      <c r="A162" s="4">
        <v>1</v>
      </c>
      <c r="B162" s="4" t="s">
        <v>10</v>
      </c>
      <c r="C162" s="4">
        <v>10</v>
      </c>
      <c r="D162" s="4">
        <v>1</v>
      </c>
      <c r="E162" s="4">
        <v>6</v>
      </c>
      <c r="F162" s="4">
        <v>123</v>
      </c>
      <c r="G162" s="15">
        <v>144</v>
      </c>
      <c r="H162" s="5" t="s">
        <v>11</v>
      </c>
      <c r="I162" s="2" t="s">
        <v>36</v>
      </c>
      <c r="J162" s="2"/>
      <c r="K162" s="2"/>
      <c r="L162" s="2"/>
      <c r="M162" s="2"/>
      <c r="N162" s="2"/>
    </row>
    <row r="163" spans="1:14" ht="15" customHeight="1">
      <c r="A163" s="4">
        <v>2</v>
      </c>
      <c r="B163" s="4" t="s">
        <v>10</v>
      </c>
      <c r="C163" s="4">
        <v>10</v>
      </c>
      <c r="D163" s="4">
        <v>1</v>
      </c>
      <c r="E163" s="4">
        <v>6</v>
      </c>
      <c r="F163" s="4">
        <v>319</v>
      </c>
      <c r="G163" s="15">
        <v>383</v>
      </c>
      <c r="H163" s="5" t="s">
        <v>11</v>
      </c>
      <c r="I163" s="2" t="s">
        <v>36</v>
      </c>
      <c r="J163" s="2"/>
      <c r="K163" s="2"/>
      <c r="L163" s="2"/>
      <c r="M163" s="2"/>
      <c r="N163" s="2"/>
    </row>
    <row r="164" spans="1:14" ht="15" customHeight="1">
      <c r="A164" s="4">
        <v>3</v>
      </c>
      <c r="B164" s="4" t="s">
        <v>10</v>
      </c>
      <c r="C164" s="4">
        <v>10</v>
      </c>
      <c r="D164" s="4">
        <v>1</v>
      </c>
      <c r="E164" s="4">
        <v>6</v>
      </c>
      <c r="F164" s="4">
        <v>209</v>
      </c>
      <c r="G164" s="15">
        <v>261</v>
      </c>
      <c r="H164" s="5" t="s">
        <v>11</v>
      </c>
      <c r="I164" s="2" t="s">
        <v>36</v>
      </c>
      <c r="J164" s="2"/>
      <c r="K164" s="2"/>
      <c r="L164" s="2"/>
      <c r="M164" s="2"/>
      <c r="N164" s="2"/>
    </row>
    <row r="165" spans="1:14" ht="15" customHeight="1">
      <c r="A165" s="4">
        <v>4</v>
      </c>
      <c r="B165" s="4" t="s">
        <v>10</v>
      </c>
      <c r="C165" s="4">
        <v>12</v>
      </c>
      <c r="D165" s="4">
        <v>1.5</v>
      </c>
      <c r="E165" s="4">
        <v>6</v>
      </c>
      <c r="F165" s="4">
        <v>110</v>
      </c>
      <c r="G165" s="15">
        <v>249</v>
      </c>
      <c r="H165" s="5" t="s">
        <v>11</v>
      </c>
      <c r="I165" s="2" t="s">
        <v>36</v>
      </c>
      <c r="J165" s="2"/>
      <c r="K165" s="2"/>
      <c r="L165" s="2"/>
      <c r="M165" s="2"/>
      <c r="N165" s="2"/>
    </row>
    <row r="166" spans="1:14" ht="15" customHeight="1">
      <c r="A166" s="4">
        <v>5</v>
      </c>
      <c r="B166" s="4" t="s">
        <v>10</v>
      </c>
      <c r="C166" s="4">
        <v>12</v>
      </c>
      <c r="D166" s="4">
        <v>1.5</v>
      </c>
      <c r="E166" s="4">
        <v>6</v>
      </c>
      <c r="F166" s="4">
        <v>164</v>
      </c>
      <c r="G166" s="15">
        <v>373</v>
      </c>
      <c r="H166" s="5" t="s">
        <v>11</v>
      </c>
      <c r="I166" s="2" t="s">
        <v>36</v>
      </c>
      <c r="J166" s="2"/>
      <c r="K166" s="2"/>
      <c r="L166" s="2"/>
      <c r="M166" s="2"/>
      <c r="N166" s="2"/>
    </row>
    <row r="167" spans="1:14" ht="15" customHeight="1">
      <c r="A167" s="4">
        <v>6</v>
      </c>
      <c r="B167" s="4" t="s">
        <v>10</v>
      </c>
      <c r="C167" s="4">
        <v>12</v>
      </c>
      <c r="D167" s="4">
        <v>1.5</v>
      </c>
      <c r="E167" s="4">
        <v>6</v>
      </c>
      <c r="F167" s="4">
        <v>150</v>
      </c>
      <c r="G167" s="15">
        <v>346</v>
      </c>
      <c r="H167" s="5" t="s">
        <v>11</v>
      </c>
      <c r="I167" s="2" t="s">
        <v>36</v>
      </c>
      <c r="J167" s="2"/>
      <c r="K167" s="2"/>
      <c r="L167" s="2"/>
      <c r="M167" s="2"/>
      <c r="N167" s="2"/>
    </row>
    <row r="168" spans="1:14" ht="15" customHeight="1">
      <c r="A168" s="4">
        <v>10</v>
      </c>
      <c r="B168" s="4" t="s">
        <v>10</v>
      </c>
      <c r="C168" s="4">
        <v>20</v>
      </c>
      <c r="D168" s="4">
        <v>2</v>
      </c>
      <c r="E168" s="4">
        <v>6</v>
      </c>
      <c r="F168" s="4">
        <v>88</v>
      </c>
      <c r="G168" s="15">
        <v>480</v>
      </c>
      <c r="H168" s="5" t="s">
        <v>11</v>
      </c>
      <c r="I168" s="2" t="s">
        <v>36</v>
      </c>
      <c r="J168" s="2"/>
      <c r="K168" s="2"/>
      <c r="L168" s="2"/>
      <c r="M168" s="2"/>
      <c r="N168" s="2"/>
    </row>
    <row r="169" spans="1:14" ht="15" customHeight="1">
      <c r="A169" s="4">
        <v>11</v>
      </c>
      <c r="B169" s="4" t="s">
        <v>10</v>
      </c>
      <c r="C169" s="4">
        <v>20</v>
      </c>
      <c r="D169" s="4">
        <v>2</v>
      </c>
      <c r="E169" s="4">
        <v>6</v>
      </c>
      <c r="F169" s="4">
        <v>103</v>
      </c>
      <c r="G169" s="15">
        <v>572</v>
      </c>
      <c r="H169" s="5" t="s">
        <v>11</v>
      </c>
      <c r="I169" s="2" t="s">
        <v>36</v>
      </c>
      <c r="J169" s="2"/>
      <c r="K169" s="2"/>
      <c r="L169" s="2"/>
      <c r="M169" s="2"/>
      <c r="N169" s="2"/>
    </row>
    <row r="170" spans="1:14" ht="15" customHeight="1">
      <c r="A170" s="4">
        <v>12</v>
      </c>
      <c r="B170" s="4" t="s">
        <v>10</v>
      </c>
      <c r="C170" s="4">
        <v>21</v>
      </c>
      <c r="D170" s="4">
        <v>3</v>
      </c>
      <c r="E170" s="4">
        <v>6</v>
      </c>
      <c r="F170" s="4">
        <v>41</v>
      </c>
      <c r="G170" s="15">
        <v>315</v>
      </c>
      <c r="H170" s="5" t="s">
        <v>11</v>
      </c>
      <c r="I170" s="2" t="s">
        <v>36</v>
      </c>
      <c r="J170" s="2"/>
      <c r="K170" s="2"/>
      <c r="L170" s="2"/>
      <c r="M170" s="2"/>
      <c r="N170" s="2"/>
    </row>
    <row r="171" spans="1:14" ht="15" customHeight="1">
      <c r="A171" s="4">
        <v>13</v>
      </c>
      <c r="B171" s="4" t="s">
        <v>10</v>
      </c>
      <c r="C171" s="4">
        <v>38</v>
      </c>
      <c r="D171" s="4">
        <v>5</v>
      </c>
      <c r="E171" s="4">
        <v>6</v>
      </c>
      <c r="F171" s="15">
        <v>46</v>
      </c>
      <c r="G171" s="15">
        <v>1113</v>
      </c>
      <c r="H171" s="5" t="s">
        <v>11</v>
      </c>
      <c r="I171" s="2" t="s">
        <v>36</v>
      </c>
      <c r="J171" s="2"/>
      <c r="K171" s="2"/>
      <c r="L171" s="2"/>
      <c r="M171" s="2"/>
      <c r="N171" s="2"/>
    </row>
    <row r="172" spans="1:14" ht="15" customHeight="1">
      <c r="A172" s="4">
        <v>19</v>
      </c>
      <c r="B172" s="4" t="s">
        <v>10</v>
      </c>
      <c r="C172" s="4">
        <v>108</v>
      </c>
      <c r="D172" s="4">
        <v>3</v>
      </c>
      <c r="E172" s="4">
        <v>6</v>
      </c>
      <c r="F172" s="4">
        <v>3</v>
      </c>
      <c r="G172" s="15">
        <v>143</v>
      </c>
      <c r="H172" s="5" t="s">
        <v>11</v>
      </c>
      <c r="I172" s="2" t="s">
        <v>36</v>
      </c>
      <c r="J172" s="2"/>
      <c r="K172" s="2"/>
      <c r="L172" s="2"/>
      <c r="M172" s="2"/>
      <c r="N172" s="2"/>
    </row>
    <row r="173" spans="1:14" ht="15" customHeight="1">
      <c r="A173" s="4">
        <v>20</v>
      </c>
      <c r="B173" s="4" t="s">
        <v>10</v>
      </c>
      <c r="C173" s="4">
        <v>108</v>
      </c>
      <c r="D173" s="4">
        <v>3</v>
      </c>
      <c r="E173" s="4">
        <v>6</v>
      </c>
      <c r="F173" s="4">
        <v>6</v>
      </c>
      <c r="G173" s="15">
        <v>283</v>
      </c>
      <c r="H173" s="5" t="s">
        <v>11</v>
      </c>
      <c r="I173" s="2" t="s">
        <v>36</v>
      </c>
      <c r="J173" s="2"/>
      <c r="K173" s="2"/>
      <c r="L173" s="2"/>
      <c r="M173" s="2"/>
      <c r="N173" s="2"/>
    </row>
    <row r="174" spans="1:14" ht="15" customHeight="1">
      <c r="A174" s="4">
        <v>21</v>
      </c>
      <c r="B174" s="4" t="s">
        <v>10</v>
      </c>
      <c r="C174" s="4">
        <v>133</v>
      </c>
      <c r="D174" s="4">
        <v>6</v>
      </c>
      <c r="E174" s="4">
        <v>6</v>
      </c>
      <c r="F174" s="4">
        <v>8</v>
      </c>
      <c r="G174" s="15">
        <v>923</v>
      </c>
      <c r="H174" s="5" t="s">
        <v>11</v>
      </c>
      <c r="I174" s="2" t="s">
        <v>36</v>
      </c>
      <c r="J174" s="2"/>
      <c r="K174" s="2"/>
      <c r="L174" s="2"/>
      <c r="M174" s="2"/>
      <c r="N174" s="2"/>
    </row>
    <row r="175" spans="1:14" ht="15" customHeight="1">
      <c r="A175" s="4">
        <v>23</v>
      </c>
      <c r="B175" s="4" t="s">
        <v>10</v>
      </c>
      <c r="C175" s="4">
        <v>159</v>
      </c>
      <c r="D175" s="4">
        <v>5</v>
      </c>
      <c r="E175" s="4">
        <v>6</v>
      </c>
      <c r="F175" s="4">
        <v>5</v>
      </c>
      <c r="G175" s="15">
        <v>558</v>
      </c>
      <c r="H175" s="5" t="s">
        <v>11</v>
      </c>
      <c r="I175" s="2" t="s">
        <v>36</v>
      </c>
      <c r="J175" s="2"/>
      <c r="K175" s="2"/>
      <c r="L175" s="2"/>
      <c r="M175" s="2"/>
      <c r="N175" s="2"/>
    </row>
    <row r="176" spans="1:14" ht="15" customHeight="1">
      <c r="A176" s="4">
        <v>24</v>
      </c>
      <c r="B176" s="4" t="s">
        <v>10</v>
      </c>
      <c r="C176" s="4">
        <v>159</v>
      </c>
      <c r="D176" s="4">
        <v>6</v>
      </c>
      <c r="E176" s="4">
        <v>6</v>
      </c>
      <c r="F176" s="4">
        <v>5</v>
      </c>
      <c r="G176" s="15">
        <v>712</v>
      </c>
      <c r="H176" s="5" t="s">
        <v>11</v>
      </c>
      <c r="I176" s="2" t="s">
        <v>36</v>
      </c>
      <c r="J176" s="2"/>
      <c r="K176" s="2"/>
      <c r="L176" s="2"/>
      <c r="M176" s="2"/>
      <c r="N176" s="2"/>
    </row>
    <row r="177" spans="1:14" ht="15" customHeight="1">
      <c r="A177" s="4">
        <v>26</v>
      </c>
      <c r="B177" s="4" t="s">
        <v>10</v>
      </c>
      <c r="C177" s="4">
        <v>159</v>
      </c>
      <c r="D177" s="4">
        <v>6</v>
      </c>
      <c r="E177" s="4">
        <v>6</v>
      </c>
      <c r="F177" s="4">
        <v>5</v>
      </c>
      <c r="G177" s="15">
        <v>718</v>
      </c>
      <c r="H177" s="5" t="s">
        <v>11</v>
      </c>
      <c r="I177" s="2" t="s">
        <v>36</v>
      </c>
      <c r="J177" s="2"/>
      <c r="K177" s="2"/>
      <c r="L177" s="2"/>
      <c r="M177" s="2"/>
      <c r="N177" s="2"/>
    </row>
    <row r="178" spans="1:14" ht="15" customHeight="1">
      <c r="A178" s="4">
        <v>27</v>
      </c>
      <c r="B178" s="4" t="s">
        <v>10</v>
      </c>
      <c r="C178" s="4">
        <v>219</v>
      </c>
      <c r="D178" s="4">
        <v>8</v>
      </c>
      <c r="E178" s="4">
        <v>6</v>
      </c>
      <c r="F178" s="4">
        <v>4</v>
      </c>
      <c r="G178" s="15">
        <v>1006</v>
      </c>
      <c r="H178" s="5" t="s">
        <v>11</v>
      </c>
      <c r="I178" s="2" t="s">
        <v>36</v>
      </c>
      <c r="J178" s="2"/>
      <c r="K178" s="2"/>
      <c r="L178" s="2"/>
      <c r="M178" s="2"/>
      <c r="N178" s="2"/>
    </row>
    <row r="179" spans="1:14" ht="15" customHeight="1">
      <c r="A179" s="4">
        <v>28</v>
      </c>
      <c r="B179" s="4" t="s">
        <v>10</v>
      </c>
      <c r="C179" s="4">
        <v>219</v>
      </c>
      <c r="D179" s="4">
        <v>8</v>
      </c>
      <c r="E179" s="4">
        <v>6</v>
      </c>
      <c r="F179" s="4">
        <v>4</v>
      </c>
      <c r="G179" s="15">
        <v>1008</v>
      </c>
      <c r="H179" s="5" t="s">
        <v>11</v>
      </c>
      <c r="I179" s="2" t="s">
        <v>36</v>
      </c>
      <c r="J179" s="2"/>
      <c r="K179" s="2"/>
      <c r="L179" s="2"/>
      <c r="M179" s="2"/>
      <c r="N179" s="2"/>
    </row>
    <row r="180" spans="1:14" ht="15" customHeight="1">
      <c r="A180" s="4">
        <v>29</v>
      </c>
      <c r="B180" s="4" t="s">
        <v>10</v>
      </c>
      <c r="C180" s="4">
        <v>219</v>
      </c>
      <c r="D180" s="4">
        <v>8</v>
      </c>
      <c r="E180" s="4">
        <v>6</v>
      </c>
      <c r="F180" s="4">
        <v>4</v>
      </c>
      <c r="G180" s="15">
        <v>1005</v>
      </c>
      <c r="H180" s="5" t="s">
        <v>11</v>
      </c>
      <c r="I180" s="2" t="s">
        <v>36</v>
      </c>
      <c r="J180" s="2"/>
      <c r="K180" s="2"/>
      <c r="L180" s="2"/>
      <c r="M180" s="2"/>
      <c r="N180" s="2"/>
    </row>
    <row r="181" spans="1:14" ht="15" customHeight="1">
      <c r="A181" s="4">
        <v>30</v>
      </c>
      <c r="B181" s="4" t="s">
        <v>10</v>
      </c>
      <c r="C181" s="4">
        <v>219</v>
      </c>
      <c r="D181" s="4">
        <v>8</v>
      </c>
      <c r="E181" s="4">
        <v>6</v>
      </c>
      <c r="F181" s="4">
        <v>3</v>
      </c>
      <c r="G181" s="15">
        <v>781</v>
      </c>
      <c r="H181" s="5" t="s">
        <v>11</v>
      </c>
      <c r="I181" s="2" t="s">
        <v>36</v>
      </c>
      <c r="J181" s="2"/>
      <c r="K181" s="2"/>
      <c r="L181" s="2"/>
      <c r="M181" s="2"/>
      <c r="N181" s="2"/>
    </row>
    <row r="182" spans="1:14" ht="15" customHeight="1">
      <c r="A182" s="4">
        <v>31</v>
      </c>
      <c r="B182" s="4" t="s">
        <v>10</v>
      </c>
      <c r="C182" s="4">
        <v>219</v>
      </c>
      <c r="D182" s="4">
        <v>8</v>
      </c>
      <c r="E182" s="4">
        <v>6</v>
      </c>
      <c r="F182" s="15">
        <v>2</v>
      </c>
      <c r="G182" s="15">
        <v>522</v>
      </c>
      <c r="H182" s="5" t="s">
        <v>11</v>
      </c>
      <c r="I182" s="2" t="s">
        <v>36</v>
      </c>
      <c r="J182" s="2"/>
      <c r="K182" s="2"/>
      <c r="L182" s="2"/>
      <c r="M182" s="2"/>
      <c r="N182" s="2"/>
    </row>
    <row r="183" spans="1:14" ht="15" customHeight="1">
      <c r="A183" s="4">
        <v>32</v>
      </c>
      <c r="B183" s="4" t="s">
        <v>10</v>
      </c>
      <c r="C183" s="4">
        <v>273</v>
      </c>
      <c r="D183" s="4">
        <v>8</v>
      </c>
      <c r="E183" s="4">
        <v>6</v>
      </c>
      <c r="F183" s="4">
        <v>2</v>
      </c>
      <c r="G183" s="15">
        <v>618</v>
      </c>
      <c r="H183" s="5" t="s">
        <v>11</v>
      </c>
      <c r="I183" s="2" t="s">
        <v>36</v>
      </c>
      <c r="J183" s="2"/>
      <c r="K183" s="2"/>
      <c r="L183" s="2"/>
      <c r="M183" s="2"/>
      <c r="N183" s="2"/>
    </row>
    <row r="184" spans="1:14" ht="15" customHeight="1">
      <c r="A184" s="4">
        <v>33</v>
      </c>
      <c r="B184" s="4" t="s">
        <v>10</v>
      </c>
      <c r="C184" s="4">
        <v>273</v>
      </c>
      <c r="D184" s="4">
        <v>8</v>
      </c>
      <c r="E184" s="4">
        <v>6</v>
      </c>
      <c r="F184" s="4">
        <v>3</v>
      </c>
      <c r="G184" s="15">
        <v>1011</v>
      </c>
      <c r="H184" s="5" t="s">
        <v>11</v>
      </c>
      <c r="I184" s="2" t="s">
        <v>36</v>
      </c>
      <c r="J184" s="2"/>
      <c r="K184" s="2"/>
      <c r="L184" s="2"/>
      <c r="M184" s="2"/>
      <c r="N184" s="2"/>
    </row>
    <row r="185" spans="1:14" ht="15" customHeight="1">
      <c r="A185" s="4">
        <v>34</v>
      </c>
      <c r="B185" s="4" t="s">
        <v>10</v>
      </c>
      <c r="C185" s="4">
        <v>273</v>
      </c>
      <c r="D185" s="4">
        <v>8</v>
      </c>
      <c r="E185" s="4">
        <v>6</v>
      </c>
      <c r="F185" s="4">
        <v>3</v>
      </c>
      <c r="G185" s="15">
        <v>1012</v>
      </c>
      <c r="H185" s="5" t="s">
        <v>11</v>
      </c>
      <c r="I185" s="2" t="s">
        <v>36</v>
      </c>
      <c r="J185" s="2"/>
      <c r="K185" s="2"/>
      <c r="L185" s="2"/>
      <c r="M185" s="2"/>
      <c r="N185" s="2"/>
    </row>
    <row r="186" spans="1:14" ht="15" customHeight="1">
      <c r="A186" s="2"/>
      <c r="B186" s="2"/>
      <c r="C186" s="2"/>
      <c r="D186" s="2"/>
      <c r="E186" s="2"/>
      <c r="F186" s="2"/>
      <c r="G186" s="2">
        <f>SUM(G162:G185)</f>
        <v>14536</v>
      </c>
      <c r="H186" s="2"/>
      <c r="I186" s="2"/>
      <c r="J186" s="2"/>
      <c r="K186" s="2"/>
      <c r="L186" s="2"/>
      <c r="M186" s="2"/>
      <c r="N186" s="2"/>
    </row>
    <row r="187" spans="1:1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5" customHeight="1">
      <c r="A191" s="4">
        <v>2</v>
      </c>
      <c r="B191" s="4" t="s">
        <v>10</v>
      </c>
      <c r="C191" s="4">
        <v>22</v>
      </c>
      <c r="D191" s="4">
        <v>3</v>
      </c>
      <c r="E191" s="4">
        <v>6</v>
      </c>
      <c r="F191" s="4">
        <v>6</v>
      </c>
      <c r="G191" s="15">
        <v>42</v>
      </c>
      <c r="H191" s="5" t="s">
        <v>11</v>
      </c>
      <c r="I191" s="2" t="s">
        <v>37</v>
      </c>
      <c r="J191" s="2"/>
      <c r="K191" s="2"/>
      <c r="L191" s="2"/>
      <c r="M191" s="2"/>
      <c r="N191" s="2"/>
    </row>
    <row r="192" spans="1:14" ht="15" customHeight="1">
      <c r="A192" s="4">
        <v>3</v>
      </c>
      <c r="B192" s="4" t="s">
        <v>10</v>
      </c>
      <c r="C192" s="4">
        <v>22</v>
      </c>
      <c r="D192" s="4">
        <v>3</v>
      </c>
      <c r="E192" s="4">
        <v>6</v>
      </c>
      <c r="F192" s="4">
        <v>75</v>
      </c>
      <c r="G192" s="15">
        <v>620</v>
      </c>
      <c r="H192" s="5" t="s">
        <v>11</v>
      </c>
      <c r="I192" s="2" t="s">
        <v>37</v>
      </c>
      <c r="J192" s="2"/>
      <c r="K192" s="2"/>
      <c r="L192" s="2"/>
      <c r="M192" s="2"/>
      <c r="N192" s="2"/>
    </row>
    <row r="193" spans="1:14" ht="15" customHeight="1">
      <c r="A193" s="4">
        <v>4</v>
      </c>
      <c r="B193" s="4" t="s">
        <v>10</v>
      </c>
      <c r="C193" s="4">
        <v>22</v>
      </c>
      <c r="D193" s="4">
        <v>3</v>
      </c>
      <c r="E193" s="4">
        <v>6</v>
      </c>
      <c r="F193" s="4">
        <v>71</v>
      </c>
      <c r="G193" s="15">
        <v>587</v>
      </c>
      <c r="H193" s="5" t="s">
        <v>11</v>
      </c>
      <c r="I193" s="2" t="s">
        <v>37</v>
      </c>
      <c r="J193" s="2"/>
      <c r="K193" s="2"/>
      <c r="L193" s="2"/>
      <c r="M193" s="2"/>
      <c r="N193" s="2"/>
    </row>
    <row r="194" spans="1:14" ht="15" customHeight="1">
      <c r="A194" s="4">
        <v>5</v>
      </c>
      <c r="B194" s="4" t="s">
        <v>10</v>
      </c>
      <c r="C194" s="4">
        <v>22</v>
      </c>
      <c r="D194" s="4">
        <v>3</v>
      </c>
      <c r="E194" s="4">
        <v>6</v>
      </c>
      <c r="F194" s="4">
        <v>90</v>
      </c>
      <c r="G194" s="15">
        <v>747</v>
      </c>
      <c r="H194" s="5" t="s">
        <v>11</v>
      </c>
      <c r="I194" s="2" t="s">
        <v>37</v>
      </c>
      <c r="J194" s="2"/>
      <c r="K194" s="2"/>
      <c r="L194" s="2"/>
      <c r="M194" s="2"/>
      <c r="N194" s="2"/>
    </row>
    <row r="195" spans="1:14" ht="15" customHeight="1">
      <c r="A195" s="4">
        <v>7</v>
      </c>
      <c r="B195" s="4" t="s">
        <v>10</v>
      </c>
      <c r="C195" s="4">
        <v>51</v>
      </c>
      <c r="D195" s="4">
        <v>3</v>
      </c>
      <c r="E195" s="4">
        <v>6</v>
      </c>
      <c r="F195" s="4">
        <v>45</v>
      </c>
      <c r="G195" s="15">
        <v>980</v>
      </c>
      <c r="H195" s="5" t="s">
        <v>11</v>
      </c>
      <c r="I195" s="2" t="s">
        <v>37</v>
      </c>
      <c r="J195" s="2" t="s">
        <v>29</v>
      </c>
      <c r="K195" s="2"/>
      <c r="L195" s="2"/>
      <c r="M195" s="2"/>
      <c r="N195" s="2"/>
    </row>
    <row r="196" spans="1:14" ht="15" customHeight="1">
      <c r="A196" s="4">
        <v>8</v>
      </c>
      <c r="B196" s="4" t="s">
        <v>10</v>
      </c>
      <c r="C196" s="4">
        <v>57</v>
      </c>
      <c r="D196" s="4">
        <v>4</v>
      </c>
      <c r="E196" s="4">
        <v>6</v>
      </c>
      <c r="F196" s="4">
        <v>18</v>
      </c>
      <c r="G196" s="15">
        <v>581</v>
      </c>
      <c r="H196" s="5" t="s">
        <v>11</v>
      </c>
      <c r="I196" s="2" t="s">
        <v>37</v>
      </c>
      <c r="J196" s="2"/>
      <c r="K196" s="2"/>
      <c r="L196" s="2"/>
      <c r="M196" s="2"/>
      <c r="N196" s="2"/>
    </row>
    <row r="197" spans="1:14" ht="15" customHeight="1">
      <c r="A197" s="4">
        <v>9</v>
      </c>
      <c r="B197" s="4" t="s">
        <v>10</v>
      </c>
      <c r="C197" s="4">
        <v>89</v>
      </c>
      <c r="D197" s="4">
        <v>3</v>
      </c>
      <c r="E197" s="4">
        <v>6</v>
      </c>
      <c r="F197" s="4">
        <v>19</v>
      </c>
      <c r="G197" s="15">
        <v>737</v>
      </c>
      <c r="H197" s="5" t="s">
        <v>11</v>
      </c>
      <c r="I197" s="2" t="s">
        <v>37</v>
      </c>
      <c r="J197" s="2"/>
      <c r="K197" s="2"/>
      <c r="L197" s="2"/>
      <c r="M197" s="2"/>
      <c r="N197" s="2"/>
    </row>
    <row r="198" spans="1:14" ht="15" customHeight="1">
      <c r="A198" s="4">
        <v>10</v>
      </c>
      <c r="B198" s="4" t="s">
        <v>10</v>
      </c>
      <c r="C198" s="4">
        <v>89</v>
      </c>
      <c r="D198" s="4">
        <v>3</v>
      </c>
      <c r="E198" s="4">
        <v>6</v>
      </c>
      <c r="F198" s="4">
        <v>24</v>
      </c>
      <c r="G198" s="15">
        <v>929</v>
      </c>
      <c r="H198" s="5" t="s">
        <v>11</v>
      </c>
      <c r="I198" s="2" t="s">
        <v>37</v>
      </c>
      <c r="J198" s="2"/>
      <c r="K198" s="2"/>
      <c r="L198" s="2"/>
      <c r="M198" s="2"/>
      <c r="N198" s="2"/>
    </row>
    <row r="199" spans="1:14" ht="15" customHeight="1">
      <c r="A199" s="4">
        <v>11</v>
      </c>
      <c r="B199" s="4" t="s">
        <v>10</v>
      </c>
      <c r="C199" s="4">
        <v>89</v>
      </c>
      <c r="D199" s="4">
        <v>3</v>
      </c>
      <c r="E199" s="4">
        <v>6</v>
      </c>
      <c r="F199" s="4">
        <v>25</v>
      </c>
      <c r="G199" s="15">
        <v>978</v>
      </c>
      <c r="H199" s="5" t="s">
        <v>11</v>
      </c>
      <c r="I199" s="2" t="s">
        <v>37</v>
      </c>
      <c r="J199" s="2"/>
      <c r="K199" s="2"/>
      <c r="L199" s="2"/>
      <c r="M199" s="2"/>
      <c r="N199" s="2"/>
    </row>
    <row r="200" spans="1:14" ht="15" customHeight="1">
      <c r="A200" s="4">
        <v>12</v>
      </c>
      <c r="B200" s="4" t="s">
        <v>10</v>
      </c>
      <c r="C200" s="4">
        <v>89</v>
      </c>
      <c r="D200" s="4">
        <v>3.5</v>
      </c>
      <c r="E200" s="4">
        <v>6</v>
      </c>
      <c r="F200" s="4">
        <v>25</v>
      </c>
      <c r="G200" s="15">
        <v>1113</v>
      </c>
      <c r="H200" s="5" t="s">
        <v>11</v>
      </c>
      <c r="I200" s="2" t="s">
        <v>37</v>
      </c>
      <c r="J200" s="2" t="s">
        <v>27</v>
      </c>
      <c r="K200" s="2"/>
      <c r="L200" s="2"/>
      <c r="M200" s="2"/>
      <c r="N200" s="2"/>
    </row>
    <row r="201" spans="1:14" ht="15" customHeight="1">
      <c r="A201" s="4">
        <v>13</v>
      </c>
      <c r="B201" s="4" t="s">
        <v>10</v>
      </c>
      <c r="C201" s="4">
        <v>89</v>
      </c>
      <c r="D201" s="4">
        <v>3.5</v>
      </c>
      <c r="E201" s="4">
        <v>6</v>
      </c>
      <c r="F201" s="4">
        <v>21</v>
      </c>
      <c r="G201" s="15">
        <v>941</v>
      </c>
      <c r="H201" s="5" t="s">
        <v>11</v>
      </c>
      <c r="I201" s="2" t="s">
        <v>37</v>
      </c>
      <c r="J201" s="2"/>
      <c r="K201" s="2"/>
      <c r="L201" s="2"/>
      <c r="M201" s="2"/>
      <c r="N201" s="2"/>
    </row>
    <row r="202" spans="1:14" ht="15" customHeight="1">
      <c r="A202" s="4">
        <v>14</v>
      </c>
      <c r="B202" s="4" t="s">
        <v>10</v>
      </c>
      <c r="C202" s="4">
        <v>89</v>
      </c>
      <c r="D202" s="4">
        <v>3.5</v>
      </c>
      <c r="E202" s="4">
        <v>6</v>
      </c>
      <c r="F202" s="4">
        <v>19</v>
      </c>
      <c r="G202" s="15">
        <v>849</v>
      </c>
      <c r="H202" s="5" t="s">
        <v>11</v>
      </c>
      <c r="I202" s="2" t="s">
        <v>37</v>
      </c>
      <c r="J202" s="2"/>
      <c r="K202" s="2"/>
      <c r="L202" s="2"/>
      <c r="M202" s="2"/>
      <c r="N202" s="2"/>
    </row>
    <row r="203" spans="1:14" ht="15" customHeight="1">
      <c r="A203" s="4">
        <v>18</v>
      </c>
      <c r="B203" s="4" t="s">
        <v>10</v>
      </c>
      <c r="C203" s="4">
        <v>108</v>
      </c>
      <c r="D203" s="4">
        <v>6</v>
      </c>
      <c r="E203" s="4">
        <v>6</v>
      </c>
      <c r="F203" s="4">
        <v>13</v>
      </c>
      <c r="G203" s="15">
        <v>1208</v>
      </c>
      <c r="H203" s="5" t="s">
        <v>11</v>
      </c>
      <c r="I203" s="2" t="s">
        <v>37</v>
      </c>
      <c r="J203" s="2"/>
      <c r="K203" s="2"/>
      <c r="L203" s="2"/>
      <c r="M203" s="2"/>
      <c r="N203" s="2"/>
    </row>
    <row r="204" spans="1:14" ht="15" customHeight="1">
      <c r="A204" s="4">
        <v>19</v>
      </c>
      <c r="B204" s="4" t="s">
        <v>10</v>
      </c>
      <c r="C204" s="4">
        <v>108</v>
      </c>
      <c r="D204" s="4">
        <v>6</v>
      </c>
      <c r="E204" s="4">
        <v>6</v>
      </c>
      <c r="F204" s="4">
        <v>12</v>
      </c>
      <c r="G204" s="15">
        <v>1102</v>
      </c>
      <c r="H204" s="5" t="s">
        <v>11</v>
      </c>
      <c r="I204" s="2" t="s">
        <v>37</v>
      </c>
      <c r="J204" s="2"/>
      <c r="K204" s="2"/>
      <c r="L204" s="2"/>
      <c r="M204" s="2"/>
      <c r="N204" s="2"/>
    </row>
    <row r="205" spans="1:14" ht="15" customHeight="1">
      <c r="A205" s="4">
        <v>27</v>
      </c>
      <c r="B205" s="4" t="s">
        <v>10</v>
      </c>
      <c r="C205" s="4">
        <v>325</v>
      </c>
      <c r="D205" s="4">
        <v>8</v>
      </c>
      <c r="E205" s="4">
        <v>6</v>
      </c>
      <c r="F205" s="4">
        <v>1</v>
      </c>
      <c r="G205" s="15">
        <v>380</v>
      </c>
      <c r="H205" s="5" t="s">
        <v>11</v>
      </c>
      <c r="I205" s="2" t="s">
        <v>37</v>
      </c>
      <c r="J205" s="2"/>
      <c r="K205" s="2"/>
      <c r="L205" s="2"/>
      <c r="M205" s="2"/>
      <c r="N205" s="2"/>
    </row>
    <row r="206" spans="1:14" ht="15" customHeight="1">
      <c r="A206" s="4">
        <v>28</v>
      </c>
      <c r="B206" s="4" t="s">
        <v>10</v>
      </c>
      <c r="C206" s="4">
        <v>325</v>
      </c>
      <c r="D206" s="4">
        <v>8</v>
      </c>
      <c r="E206" s="4">
        <v>6</v>
      </c>
      <c r="F206" s="15">
        <v>2</v>
      </c>
      <c r="G206" s="15">
        <v>753</v>
      </c>
      <c r="H206" s="5" t="s">
        <v>11</v>
      </c>
      <c r="I206" s="2" t="s">
        <v>37</v>
      </c>
      <c r="J206" s="2"/>
      <c r="K206" s="2"/>
      <c r="L206" s="2"/>
      <c r="M206" s="2"/>
      <c r="N206" s="2"/>
    </row>
    <row r="207" spans="1:14" ht="15" customHeight="1">
      <c r="A207" s="4">
        <v>29</v>
      </c>
      <c r="B207" s="4" t="s">
        <v>10</v>
      </c>
      <c r="C207" s="4">
        <v>325</v>
      </c>
      <c r="D207" s="4">
        <v>8</v>
      </c>
      <c r="E207" s="4">
        <v>6</v>
      </c>
      <c r="F207" s="15">
        <v>2</v>
      </c>
      <c r="G207" s="15">
        <v>777</v>
      </c>
      <c r="H207" s="5" t="s">
        <v>11</v>
      </c>
      <c r="I207" s="2" t="s">
        <v>37</v>
      </c>
      <c r="J207" s="2"/>
      <c r="K207" s="2"/>
      <c r="L207" s="2"/>
      <c r="M207" s="2"/>
      <c r="N207" s="2"/>
    </row>
    <row r="208" spans="1:14" ht="15" customHeight="1">
      <c r="A208" s="4">
        <v>30</v>
      </c>
      <c r="B208" s="4" t="s">
        <v>10</v>
      </c>
      <c r="C208" s="4">
        <v>325</v>
      </c>
      <c r="D208" s="4">
        <v>8</v>
      </c>
      <c r="E208" s="4">
        <v>6</v>
      </c>
      <c r="F208" s="15">
        <v>2</v>
      </c>
      <c r="G208" s="15">
        <v>781</v>
      </c>
      <c r="H208" s="5" t="s">
        <v>11</v>
      </c>
      <c r="I208" s="2" t="s">
        <v>37</v>
      </c>
      <c r="J208" s="2"/>
      <c r="K208" s="2"/>
      <c r="L208" s="2"/>
      <c r="M208" s="2"/>
      <c r="N208" s="2"/>
    </row>
    <row r="209" spans="1:14" ht="15" customHeight="1">
      <c r="A209" s="4"/>
      <c r="B209" s="4"/>
      <c r="C209" s="4"/>
      <c r="D209" s="4"/>
      <c r="E209" s="4"/>
      <c r="F209" s="4">
        <v>470</v>
      </c>
      <c r="G209" s="4">
        <f>SUM(G191:G208)</f>
        <v>14105</v>
      </c>
      <c r="H209" s="4"/>
      <c r="I209" s="2"/>
      <c r="J209" s="2"/>
      <c r="K209" s="2"/>
      <c r="L209" s="2"/>
      <c r="M209" s="2"/>
      <c r="N209" s="2"/>
    </row>
    <row r="210" spans="1:1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5" customHeight="1">
      <c r="A215" s="4" t="s">
        <v>1</v>
      </c>
      <c r="B215" s="4" t="s">
        <v>2</v>
      </c>
      <c r="C215" s="4" t="s">
        <v>3</v>
      </c>
      <c r="D215" s="4" t="s">
        <v>4</v>
      </c>
      <c r="E215" s="4" t="s">
        <v>5</v>
      </c>
      <c r="F215" s="4" t="s">
        <v>6</v>
      </c>
      <c r="G215" s="4" t="s">
        <v>7</v>
      </c>
      <c r="H215" s="4" t="s">
        <v>8</v>
      </c>
      <c r="I215" s="2"/>
      <c r="J215" s="2"/>
      <c r="K215" s="2"/>
      <c r="L215" s="2"/>
      <c r="M215" s="2"/>
      <c r="N215" s="2"/>
    </row>
    <row r="216" spans="1:14" ht="15" customHeight="1">
      <c r="A216" s="4">
        <v>1</v>
      </c>
      <c r="B216" s="4" t="s">
        <v>10</v>
      </c>
      <c r="C216" s="4">
        <v>25</v>
      </c>
      <c r="D216" s="4">
        <v>2</v>
      </c>
      <c r="E216" s="4">
        <v>6</v>
      </c>
      <c r="F216" s="4">
        <v>102</v>
      </c>
      <c r="G216" s="15">
        <v>677</v>
      </c>
      <c r="H216" s="5" t="s">
        <v>11</v>
      </c>
      <c r="I216" s="2" t="s">
        <v>38</v>
      </c>
      <c r="J216" s="2"/>
      <c r="K216" s="2"/>
      <c r="L216" s="2"/>
      <c r="M216" s="2"/>
      <c r="N216" s="2"/>
    </row>
    <row r="217" spans="1:14" ht="15" customHeight="1">
      <c r="A217" s="4">
        <v>2</v>
      </c>
      <c r="B217" s="4" t="s">
        <v>10</v>
      </c>
      <c r="C217" s="4">
        <v>25</v>
      </c>
      <c r="D217" s="4">
        <v>2</v>
      </c>
      <c r="E217" s="4">
        <v>6</v>
      </c>
      <c r="F217" s="4">
        <v>116</v>
      </c>
      <c r="G217" s="15">
        <v>793</v>
      </c>
      <c r="H217" s="5" t="s">
        <v>11</v>
      </c>
      <c r="I217" s="2" t="s">
        <v>38</v>
      </c>
      <c r="J217" s="2"/>
      <c r="K217" s="2"/>
      <c r="L217" s="2"/>
      <c r="M217" s="2"/>
      <c r="N217" s="2"/>
    </row>
    <row r="218" spans="1:14" ht="15" customHeight="1">
      <c r="A218" s="4">
        <v>3</v>
      </c>
      <c r="B218" s="4" t="s">
        <v>10</v>
      </c>
      <c r="C218" s="4">
        <v>25</v>
      </c>
      <c r="D218" s="4">
        <v>2</v>
      </c>
      <c r="E218" s="4">
        <v>6</v>
      </c>
      <c r="F218" s="4">
        <v>113</v>
      </c>
      <c r="G218" s="15">
        <v>752</v>
      </c>
      <c r="H218" s="5" t="s">
        <v>11</v>
      </c>
      <c r="I218" s="2" t="s">
        <v>38</v>
      </c>
      <c r="J218" s="2"/>
      <c r="K218" s="2"/>
      <c r="L218" s="2"/>
      <c r="M218" s="2"/>
      <c r="N218" s="2"/>
    </row>
    <row r="219" spans="1:14" ht="15" customHeight="1">
      <c r="A219" s="4">
        <v>4</v>
      </c>
      <c r="B219" s="4" t="s">
        <v>10</v>
      </c>
      <c r="C219" s="4">
        <v>28</v>
      </c>
      <c r="D219" s="4">
        <v>3</v>
      </c>
      <c r="E219" s="4">
        <v>6</v>
      </c>
      <c r="F219" s="4">
        <v>81</v>
      </c>
      <c r="G219" s="15">
        <v>964</v>
      </c>
      <c r="H219" s="5" t="s">
        <v>11</v>
      </c>
      <c r="I219" s="2" t="s">
        <v>38</v>
      </c>
      <c r="J219" s="2"/>
      <c r="K219" s="2"/>
      <c r="L219" s="2"/>
      <c r="M219" s="2"/>
      <c r="N219" s="2"/>
    </row>
    <row r="220" spans="1:14" ht="15" customHeight="1">
      <c r="A220" s="4">
        <v>5</v>
      </c>
      <c r="B220" s="4" t="s">
        <v>10</v>
      </c>
      <c r="C220" s="4">
        <v>28</v>
      </c>
      <c r="D220" s="4">
        <v>3</v>
      </c>
      <c r="E220" s="4">
        <v>6</v>
      </c>
      <c r="F220" s="4">
        <v>89</v>
      </c>
      <c r="G220" s="15">
        <v>1030</v>
      </c>
      <c r="H220" s="5" t="s">
        <v>11</v>
      </c>
      <c r="I220" s="2" t="s">
        <v>38</v>
      </c>
      <c r="J220" s="2"/>
      <c r="K220" s="2"/>
      <c r="L220" s="2"/>
      <c r="M220" s="2"/>
      <c r="N220" s="2"/>
    </row>
    <row r="221" spans="1:14" ht="15" customHeight="1">
      <c r="A221" s="4">
        <v>6</v>
      </c>
      <c r="B221" s="4" t="s">
        <v>10</v>
      </c>
      <c r="C221" s="4">
        <v>30</v>
      </c>
      <c r="D221" s="4">
        <v>3</v>
      </c>
      <c r="E221" s="4">
        <v>6</v>
      </c>
      <c r="F221" s="4">
        <v>61</v>
      </c>
      <c r="G221" s="15">
        <v>725</v>
      </c>
      <c r="H221" s="5" t="s">
        <v>11</v>
      </c>
      <c r="I221" s="2" t="s">
        <v>38</v>
      </c>
      <c r="J221" s="2"/>
      <c r="K221" s="2"/>
      <c r="L221" s="2"/>
      <c r="M221" s="2"/>
      <c r="N221" s="2"/>
    </row>
    <row r="222" spans="1:14" ht="15" customHeight="1">
      <c r="A222" s="4">
        <v>7</v>
      </c>
      <c r="B222" s="4" t="s">
        <v>10</v>
      </c>
      <c r="C222" s="4">
        <v>30</v>
      </c>
      <c r="D222" s="4">
        <v>3</v>
      </c>
      <c r="E222" s="4">
        <v>6</v>
      </c>
      <c r="F222" s="4">
        <v>51</v>
      </c>
      <c r="G222" s="15">
        <v>606</v>
      </c>
      <c r="H222" s="5" t="s">
        <v>11</v>
      </c>
      <c r="I222" s="2" t="s">
        <v>38</v>
      </c>
      <c r="J222" s="2"/>
      <c r="K222" s="2"/>
      <c r="L222" s="2"/>
      <c r="M222" s="2"/>
      <c r="N222" s="2"/>
    </row>
    <row r="223" spans="1:14" ht="15" customHeight="1">
      <c r="A223" s="4">
        <v>8</v>
      </c>
      <c r="B223" s="4" t="s">
        <v>10</v>
      </c>
      <c r="C223" s="4">
        <v>30</v>
      </c>
      <c r="D223" s="4">
        <v>3</v>
      </c>
      <c r="E223" s="4">
        <v>6</v>
      </c>
      <c r="F223" s="4">
        <v>60</v>
      </c>
      <c r="G223" s="15">
        <v>722</v>
      </c>
      <c r="H223" s="5" t="s">
        <v>11</v>
      </c>
      <c r="I223" s="2" t="s">
        <v>38</v>
      </c>
      <c r="J223" s="2"/>
      <c r="K223" s="2"/>
      <c r="L223" s="2"/>
      <c r="M223" s="2"/>
      <c r="N223" s="2"/>
    </row>
    <row r="224" spans="1:14" ht="15" customHeight="1">
      <c r="A224" s="4">
        <v>9</v>
      </c>
      <c r="B224" s="4" t="s">
        <v>10</v>
      </c>
      <c r="C224" s="4">
        <v>32</v>
      </c>
      <c r="D224" s="4">
        <v>2</v>
      </c>
      <c r="E224" s="4">
        <v>6</v>
      </c>
      <c r="F224" s="4">
        <v>51</v>
      </c>
      <c r="G224" s="15">
        <v>462</v>
      </c>
      <c r="H224" s="5" t="s">
        <v>11</v>
      </c>
      <c r="I224" s="2" t="s">
        <v>38</v>
      </c>
      <c r="J224" s="2"/>
      <c r="K224" s="2"/>
      <c r="L224" s="2"/>
      <c r="M224" s="2"/>
      <c r="N224" s="2"/>
    </row>
    <row r="225" spans="1:14" ht="15" customHeight="1">
      <c r="A225" s="4">
        <v>10</v>
      </c>
      <c r="B225" s="4" t="s">
        <v>10</v>
      </c>
      <c r="C225" s="4">
        <v>32</v>
      </c>
      <c r="D225" s="4">
        <v>2</v>
      </c>
      <c r="E225" s="4">
        <v>6</v>
      </c>
      <c r="F225" s="4">
        <v>68</v>
      </c>
      <c r="G225" s="15">
        <v>606</v>
      </c>
      <c r="H225" s="5" t="s">
        <v>11</v>
      </c>
      <c r="I225" s="2" t="s">
        <v>38</v>
      </c>
      <c r="J225" s="2"/>
      <c r="K225" s="2"/>
      <c r="L225" s="2"/>
      <c r="M225" s="2"/>
      <c r="N225" s="2"/>
    </row>
    <row r="226" spans="1:14" ht="15" customHeight="1">
      <c r="A226" s="4">
        <v>11</v>
      </c>
      <c r="B226" s="4" t="s">
        <v>10</v>
      </c>
      <c r="C226" s="4">
        <v>32</v>
      </c>
      <c r="D226" s="4">
        <v>2.5</v>
      </c>
      <c r="E226" s="4">
        <v>6</v>
      </c>
      <c r="F226" s="4">
        <v>99</v>
      </c>
      <c r="G226" s="15">
        <v>1079</v>
      </c>
      <c r="H226" s="5" t="s">
        <v>11</v>
      </c>
      <c r="I226" s="2" t="s">
        <v>38</v>
      </c>
      <c r="J226" s="2"/>
      <c r="K226" s="2"/>
      <c r="L226" s="2"/>
      <c r="M226" s="2"/>
      <c r="N226" s="2"/>
    </row>
    <row r="227" spans="1:14" ht="15" customHeight="1">
      <c r="A227" s="4">
        <v>12</v>
      </c>
      <c r="B227" s="4" t="s">
        <v>10</v>
      </c>
      <c r="C227" s="4">
        <v>32</v>
      </c>
      <c r="D227" s="4">
        <v>2.5</v>
      </c>
      <c r="E227" s="4">
        <v>6</v>
      </c>
      <c r="F227" s="4">
        <v>80</v>
      </c>
      <c r="G227" s="15">
        <v>875</v>
      </c>
      <c r="H227" s="5" t="s">
        <v>11</v>
      </c>
      <c r="I227" s="2" t="s">
        <v>38</v>
      </c>
      <c r="J227" s="2"/>
      <c r="K227" s="2"/>
      <c r="L227" s="2"/>
      <c r="M227" s="2"/>
      <c r="N227" s="2"/>
    </row>
    <row r="228" spans="1:14" ht="15" customHeight="1">
      <c r="A228" s="4">
        <v>15</v>
      </c>
      <c r="B228" s="4" t="s">
        <v>10</v>
      </c>
      <c r="C228" s="4">
        <v>34</v>
      </c>
      <c r="D228" s="4">
        <v>3</v>
      </c>
      <c r="E228" s="4">
        <v>6</v>
      </c>
      <c r="F228" s="4">
        <v>34</v>
      </c>
      <c r="G228" s="15">
        <v>461</v>
      </c>
      <c r="H228" s="5" t="s">
        <v>11</v>
      </c>
      <c r="I228" s="2" t="s">
        <v>38</v>
      </c>
      <c r="J228" s="2"/>
      <c r="K228" s="2"/>
      <c r="L228" s="2"/>
      <c r="M228" s="2"/>
      <c r="N228" s="2"/>
    </row>
    <row r="229" spans="1:14" ht="15" customHeight="1">
      <c r="A229" s="4">
        <v>16</v>
      </c>
      <c r="B229" s="4" t="s">
        <v>10</v>
      </c>
      <c r="C229" s="4">
        <v>34</v>
      </c>
      <c r="D229" s="4">
        <v>3</v>
      </c>
      <c r="E229" s="4">
        <v>6</v>
      </c>
      <c r="F229" s="4">
        <v>36</v>
      </c>
      <c r="G229" s="15">
        <v>492</v>
      </c>
      <c r="H229" s="5" t="s">
        <v>11</v>
      </c>
      <c r="I229" s="2" t="s">
        <v>38</v>
      </c>
      <c r="J229" s="2"/>
      <c r="K229" s="2"/>
      <c r="L229" s="2"/>
      <c r="M229" s="2"/>
      <c r="N229" s="2"/>
    </row>
    <row r="230" spans="1:14" ht="15" customHeight="1">
      <c r="A230" s="4">
        <v>17</v>
      </c>
      <c r="B230" s="4" t="s">
        <v>10</v>
      </c>
      <c r="C230" s="4">
        <v>34</v>
      </c>
      <c r="D230" s="4">
        <v>3</v>
      </c>
      <c r="E230" s="4">
        <v>6</v>
      </c>
      <c r="F230" s="4">
        <v>70</v>
      </c>
      <c r="G230" s="15">
        <v>961</v>
      </c>
      <c r="H230" s="5" t="s">
        <v>11</v>
      </c>
      <c r="I230" s="2" t="s">
        <v>38</v>
      </c>
      <c r="J230" s="2"/>
      <c r="K230" s="2"/>
      <c r="L230" s="2"/>
      <c r="M230" s="2"/>
      <c r="N230" s="2"/>
    </row>
    <row r="231" spans="1:14" ht="15" customHeight="1">
      <c r="A231" s="4">
        <v>18</v>
      </c>
      <c r="B231" s="4" t="s">
        <v>10</v>
      </c>
      <c r="C231" s="4">
        <v>45</v>
      </c>
      <c r="D231" s="4">
        <v>4.5</v>
      </c>
      <c r="E231" s="4">
        <v>6</v>
      </c>
      <c r="F231" s="4">
        <v>36</v>
      </c>
      <c r="G231" s="15">
        <v>1009</v>
      </c>
      <c r="H231" s="5" t="s">
        <v>11</v>
      </c>
      <c r="I231" s="2" t="s">
        <v>38</v>
      </c>
      <c r="J231" s="2"/>
      <c r="K231" s="2"/>
      <c r="L231" s="2"/>
      <c r="M231" s="2"/>
      <c r="N231" s="2"/>
    </row>
    <row r="232" spans="1:14" ht="15" customHeight="1">
      <c r="A232" s="4">
        <v>19</v>
      </c>
      <c r="B232" s="4" t="s">
        <v>10</v>
      </c>
      <c r="C232" s="4">
        <v>57</v>
      </c>
      <c r="D232" s="4">
        <v>3</v>
      </c>
      <c r="E232" s="4">
        <v>6</v>
      </c>
      <c r="F232" s="4">
        <f>25-4</f>
        <v>21</v>
      </c>
      <c r="G232" s="15">
        <f>594-97</f>
        <v>497</v>
      </c>
      <c r="H232" s="5" t="s">
        <v>11</v>
      </c>
      <c r="I232" s="2" t="s">
        <v>38</v>
      </c>
      <c r="J232" s="2"/>
      <c r="K232" s="2"/>
      <c r="L232" s="2"/>
      <c r="M232" s="2"/>
      <c r="N232" s="2"/>
    </row>
    <row r="233" spans="1:14" ht="15" customHeight="1">
      <c r="A233" s="4">
        <v>20</v>
      </c>
      <c r="B233" s="4" t="s">
        <v>10</v>
      </c>
      <c r="C233" s="4">
        <v>57</v>
      </c>
      <c r="D233" s="4">
        <v>3</v>
      </c>
      <c r="E233" s="4">
        <v>6</v>
      </c>
      <c r="F233" s="4">
        <v>51</v>
      </c>
      <c r="G233" s="15">
        <v>1209</v>
      </c>
      <c r="H233" s="5" t="s">
        <v>11</v>
      </c>
      <c r="I233" s="2" t="s">
        <v>38</v>
      </c>
      <c r="J233" s="2"/>
      <c r="K233" s="2"/>
      <c r="L233" s="2"/>
      <c r="M233" s="2"/>
      <c r="N233" s="2"/>
    </row>
    <row r="234" spans="1:14" ht="15" customHeight="1">
      <c r="A234" s="4">
        <v>21</v>
      </c>
      <c r="B234" s="4" t="s">
        <v>10</v>
      </c>
      <c r="C234" s="4">
        <v>57</v>
      </c>
      <c r="D234" s="4">
        <v>3</v>
      </c>
      <c r="E234" s="4">
        <v>6</v>
      </c>
      <c r="F234" s="4">
        <v>23</v>
      </c>
      <c r="G234" s="15">
        <v>554</v>
      </c>
      <c r="H234" s="5" t="s">
        <v>11</v>
      </c>
      <c r="I234" s="2" t="s">
        <v>38</v>
      </c>
      <c r="J234" s="2"/>
      <c r="K234" s="2"/>
      <c r="L234" s="2"/>
      <c r="M234" s="2"/>
      <c r="N234" s="2"/>
    </row>
    <row r="235" spans="1:14" ht="15" customHeight="1">
      <c r="A235" s="4">
        <v>22</v>
      </c>
      <c r="B235" s="4" t="s">
        <v>10</v>
      </c>
      <c r="C235" s="4">
        <v>57</v>
      </c>
      <c r="D235" s="4">
        <v>4</v>
      </c>
      <c r="E235" s="4">
        <v>6</v>
      </c>
      <c r="F235" s="4">
        <v>29</v>
      </c>
      <c r="G235" s="15">
        <v>902</v>
      </c>
      <c r="H235" s="5" t="s">
        <v>11</v>
      </c>
      <c r="I235" s="2" t="s">
        <v>38</v>
      </c>
      <c r="J235" s="2"/>
      <c r="K235" s="2"/>
      <c r="L235" s="2"/>
      <c r="M235" s="2"/>
      <c r="N235" s="2"/>
    </row>
    <row r="236" spans="1:14" ht="15" customHeight="1">
      <c r="A236" s="4">
        <v>23</v>
      </c>
      <c r="B236" s="4" t="s">
        <v>10</v>
      </c>
      <c r="C236" s="4">
        <v>89</v>
      </c>
      <c r="D236" s="4">
        <v>6</v>
      </c>
      <c r="E236" s="4">
        <v>6</v>
      </c>
      <c r="F236" s="4">
        <v>12</v>
      </c>
      <c r="G236" s="15">
        <v>897</v>
      </c>
      <c r="H236" s="5" t="s">
        <v>11</v>
      </c>
      <c r="I236" s="2" t="s">
        <v>38</v>
      </c>
      <c r="J236" s="2"/>
      <c r="K236" s="2"/>
      <c r="L236" s="2"/>
      <c r="M236" s="2"/>
      <c r="N236" s="2"/>
    </row>
    <row r="237" spans="1:14" ht="15" customHeight="1">
      <c r="A237" s="4">
        <v>24</v>
      </c>
      <c r="B237" s="4" t="s">
        <v>10</v>
      </c>
      <c r="C237" s="4">
        <v>89</v>
      </c>
      <c r="D237" s="4">
        <v>6</v>
      </c>
      <c r="E237" s="4">
        <v>6</v>
      </c>
      <c r="F237" s="4">
        <v>12</v>
      </c>
      <c r="G237" s="15">
        <v>896</v>
      </c>
      <c r="H237" s="5" t="s">
        <v>11</v>
      </c>
      <c r="I237" s="2" t="s">
        <v>38</v>
      </c>
      <c r="J237" s="2"/>
      <c r="K237" s="2"/>
      <c r="L237" s="2"/>
      <c r="M237" s="2"/>
      <c r="N237" s="2"/>
    </row>
    <row r="238" spans="1:14" ht="15" customHeight="1">
      <c r="A238" s="4">
        <v>26</v>
      </c>
      <c r="B238" s="4" t="s">
        <v>10</v>
      </c>
      <c r="C238" s="4">
        <v>108</v>
      </c>
      <c r="D238" s="4">
        <v>5</v>
      </c>
      <c r="E238" s="4">
        <v>6</v>
      </c>
      <c r="F238" s="4">
        <v>12</v>
      </c>
      <c r="G238" s="15">
        <v>947</v>
      </c>
      <c r="H238" s="5" t="s">
        <v>11</v>
      </c>
      <c r="I238" s="2" t="s">
        <v>38</v>
      </c>
      <c r="J238" s="2"/>
      <c r="K238" s="2"/>
      <c r="L238" s="2"/>
      <c r="M238" s="2"/>
      <c r="N238" s="2"/>
    </row>
    <row r="239" spans="1:14" ht="15" customHeight="1">
      <c r="A239" s="4">
        <v>27</v>
      </c>
      <c r="B239" s="4" t="s">
        <v>10</v>
      </c>
      <c r="C239" s="4">
        <v>114</v>
      </c>
      <c r="D239" s="4">
        <v>5</v>
      </c>
      <c r="E239" s="4">
        <v>6</v>
      </c>
      <c r="F239" s="4">
        <v>13</v>
      </c>
      <c r="G239" s="15">
        <v>1060</v>
      </c>
      <c r="H239" s="5" t="s">
        <v>11</v>
      </c>
      <c r="I239" s="2" t="s">
        <v>38</v>
      </c>
      <c r="J239" s="2"/>
      <c r="K239" s="2"/>
      <c r="L239" s="2"/>
      <c r="M239" s="2"/>
      <c r="N239" s="2"/>
    </row>
    <row r="240" spans="1:14" ht="15" customHeight="1">
      <c r="A240" s="4">
        <v>28</v>
      </c>
      <c r="B240" s="4" t="s">
        <v>10</v>
      </c>
      <c r="C240" s="4">
        <v>114</v>
      </c>
      <c r="D240" s="4">
        <v>5</v>
      </c>
      <c r="E240" s="4">
        <v>6</v>
      </c>
      <c r="F240" s="4">
        <v>12</v>
      </c>
      <c r="G240" s="15">
        <v>974</v>
      </c>
      <c r="H240" s="5" t="s">
        <v>11</v>
      </c>
      <c r="I240" s="2" t="s">
        <v>38</v>
      </c>
      <c r="J240" s="2"/>
      <c r="K240" s="2"/>
      <c r="L240" s="2"/>
      <c r="M240" s="2"/>
      <c r="N240" s="2"/>
    </row>
    <row r="241" spans="1:14" ht="15" customHeight="1">
      <c r="A241" s="4">
        <v>30</v>
      </c>
      <c r="B241" s="4" t="s">
        <v>10</v>
      </c>
      <c r="C241" s="4">
        <v>168</v>
      </c>
      <c r="D241" s="4">
        <v>5</v>
      </c>
      <c r="E241" s="4">
        <v>6</v>
      </c>
      <c r="F241" s="4">
        <v>3</v>
      </c>
      <c r="G241" s="15">
        <v>360</v>
      </c>
      <c r="H241" s="5" t="s">
        <v>11</v>
      </c>
      <c r="I241" s="2" t="s">
        <v>38</v>
      </c>
      <c r="J241" s="2"/>
      <c r="K241" s="2"/>
      <c r="L241" s="2"/>
      <c r="M241" s="2"/>
      <c r="N241" s="2"/>
    </row>
    <row r="242" spans="1:14" ht="15" customHeight="1">
      <c r="A242" s="4">
        <v>31</v>
      </c>
      <c r="B242" s="4" t="s">
        <v>10</v>
      </c>
      <c r="C242" s="4">
        <v>168</v>
      </c>
      <c r="D242" s="4">
        <v>5</v>
      </c>
      <c r="E242" s="4">
        <v>6</v>
      </c>
      <c r="F242" s="4">
        <v>6</v>
      </c>
      <c r="G242" s="15">
        <v>732</v>
      </c>
      <c r="H242" s="5" t="s">
        <v>11</v>
      </c>
      <c r="I242" s="2" t="s">
        <v>38</v>
      </c>
      <c r="J242" s="2"/>
      <c r="K242" s="2"/>
      <c r="L242" s="2"/>
      <c r="M242" s="2"/>
      <c r="N242" s="2"/>
    </row>
    <row r="243" spans="1:14" ht="15" customHeight="1">
      <c r="A243" s="4"/>
      <c r="B243" s="4"/>
      <c r="C243" s="4"/>
      <c r="D243" s="4"/>
      <c r="E243" s="4"/>
      <c r="F243" s="4">
        <v>1345</v>
      </c>
      <c r="G243" s="4">
        <f>SUM(G216:G242)</f>
        <v>21242</v>
      </c>
      <c r="H243" s="4"/>
      <c r="I243" s="2"/>
      <c r="J243" s="2"/>
      <c r="K243" s="2"/>
      <c r="L243" s="2"/>
      <c r="M243" s="2"/>
      <c r="N243" s="2"/>
    </row>
    <row r="244" spans="1:14" ht="15" customHeight="1">
      <c r="A244" s="16"/>
      <c r="B244" s="16"/>
      <c r="C244" s="16"/>
      <c r="D244" s="16"/>
      <c r="E244" s="16"/>
      <c r="F244" s="16"/>
      <c r="G244" s="16"/>
      <c r="H244" s="16"/>
      <c r="I244" s="2"/>
      <c r="J244" s="2"/>
      <c r="K244" s="2"/>
      <c r="L244" s="2"/>
      <c r="M244" s="2"/>
      <c r="N244" s="2"/>
    </row>
    <row r="245" spans="1:14" ht="15" customHeight="1">
      <c r="A245" s="16"/>
      <c r="B245" s="16"/>
      <c r="C245" s="16"/>
      <c r="D245" s="16"/>
      <c r="E245" s="16"/>
      <c r="F245" s="16"/>
      <c r="G245" s="16"/>
      <c r="H245" s="16"/>
      <c r="I245" s="2"/>
      <c r="J245" s="2"/>
      <c r="K245" s="2"/>
      <c r="L245" s="2"/>
      <c r="M245" s="2"/>
      <c r="N245" s="2"/>
    </row>
    <row r="246" spans="1:14" ht="15" customHeight="1">
      <c r="A246" s="2"/>
      <c r="B246" s="2"/>
      <c r="C246" s="2"/>
      <c r="D246" s="2"/>
      <c r="E246" s="2"/>
      <c r="F246" s="2"/>
      <c r="G246" s="2">
        <f>G243+G209+G186+G155+G139+G110+G84+G66+G56+G34+G17+G10</f>
        <v>108045</v>
      </c>
      <c r="H246" s="2"/>
      <c r="I246" s="2"/>
      <c r="J246" s="2"/>
      <c r="K246" s="2"/>
      <c r="L246" s="2"/>
      <c r="M246" s="2"/>
      <c r="N246" s="2"/>
    </row>
    <row r="247" spans="1:1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</row>
  </sheetData>
  <mergeCells count="5">
    <mergeCell ref="A12:H12"/>
    <mergeCell ref="A13:H13"/>
    <mergeCell ref="A24:H24"/>
    <mergeCell ref="A25:H25"/>
    <mergeCell ref="A118:H1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</sheetPr>
  <dimension ref="A1:K201"/>
  <sheetViews>
    <sheetView workbookViewId="0"/>
  </sheetViews>
  <sheetFormatPr defaultRowHeight="12.75"/>
  <cols>
    <col min="1" max="1" width="7" customWidth="1"/>
    <col min="2" max="2" width="17.140625" customWidth="1"/>
    <col min="3" max="3" width="12.7109375" customWidth="1"/>
    <col min="4" max="4" width="9.140625" customWidth="1"/>
    <col min="5" max="5" width="10.42578125" customWidth="1"/>
    <col min="6" max="6" width="16.5703125" customWidth="1"/>
    <col min="7" max="7" width="10.7109375" customWidth="1"/>
    <col min="8" max="8" width="28.42578125" hidden="1" customWidth="1"/>
    <col min="9" max="9" width="13.5703125" hidden="1" customWidth="1"/>
    <col min="10" max="10" width="29.28515625" hidden="1" customWidth="1"/>
    <col min="11" max="11" width="10.28515625" customWidth="1"/>
  </cols>
  <sheetData>
    <row r="1" spans="1:11" ht="15.75">
      <c r="A1" s="22"/>
      <c r="B1" s="22"/>
      <c r="C1" s="22"/>
      <c r="D1" s="22"/>
      <c r="E1" s="22"/>
      <c r="F1" s="23"/>
      <c r="G1" s="23"/>
      <c r="H1" s="23"/>
      <c r="I1" s="23"/>
      <c r="J1" s="23"/>
      <c r="K1" s="24"/>
    </row>
    <row r="2" spans="1:11" ht="15.75">
      <c r="A2" s="22"/>
      <c r="B2" s="22"/>
      <c r="C2" s="22"/>
      <c r="D2" s="22"/>
      <c r="E2" s="22"/>
      <c r="F2" s="23"/>
      <c r="G2" s="23"/>
      <c r="H2" s="23"/>
      <c r="I2" s="23"/>
      <c r="J2" s="23"/>
      <c r="K2" s="24"/>
    </row>
    <row r="3" spans="1:11" ht="15.75">
      <c r="A3" s="116" t="s">
        <v>53</v>
      </c>
      <c r="B3" s="116"/>
      <c r="C3" s="116"/>
      <c r="D3" s="116"/>
      <c r="E3" s="116"/>
      <c r="F3" s="116"/>
      <c r="G3" s="116"/>
      <c r="H3" s="23"/>
      <c r="I3" s="23"/>
      <c r="J3" s="23"/>
      <c r="K3" s="24"/>
    </row>
    <row r="4" spans="1:11" ht="15.75">
      <c r="A4" s="22"/>
      <c r="B4" s="22"/>
      <c r="C4" s="22"/>
      <c r="D4" s="22"/>
      <c r="E4" s="22"/>
      <c r="F4" s="23"/>
      <c r="G4" s="23"/>
      <c r="H4" s="23"/>
      <c r="I4" s="23"/>
      <c r="J4" s="23"/>
      <c r="K4" s="24"/>
    </row>
    <row r="5" spans="1:11" ht="15.75">
      <c r="A5" s="22"/>
      <c r="B5" s="22"/>
      <c r="C5" s="22"/>
      <c r="D5" s="22"/>
      <c r="E5" s="22"/>
      <c r="F5" s="22"/>
      <c r="G5" s="22"/>
      <c r="H5" s="22"/>
      <c r="I5" s="22"/>
      <c r="J5" s="22"/>
      <c r="K5" s="24"/>
    </row>
    <row r="6" spans="1:11" ht="15.75">
      <c r="A6" s="106" t="s">
        <v>54</v>
      </c>
      <c r="B6" s="106"/>
      <c r="C6" s="106"/>
      <c r="D6" s="106"/>
      <c r="E6" s="106"/>
      <c r="F6" s="106"/>
      <c r="G6" s="106"/>
      <c r="H6" s="106"/>
      <c r="I6" s="9"/>
      <c r="J6" s="9"/>
      <c r="K6" s="24"/>
    </row>
    <row r="7" spans="1:11" ht="15.75">
      <c r="A7" s="106" t="s">
        <v>39</v>
      </c>
      <c r="B7" s="106"/>
      <c r="C7" s="106"/>
      <c r="D7" s="106"/>
      <c r="E7" s="106"/>
      <c r="F7" s="106"/>
      <c r="G7" s="106"/>
      <c r="H7" s="9"/>
      <c r="I7" s="9"/>
      <c r="J7" s="9"/>
      <c r="K7" s="24"/>
    </row>
    <row r="8" spans="1:11" ht="15.75">
      <c r="A8" s="4" t="s">
        <v>1</v>
      </c>
      <c r="B8" s="4" t="s">
        <v>2</v>
      </c>
      <c r="C8" s="4" t="s">
        <v>55</v>
      </c>
      <c r="D8" s="4" t="s">
        <v>56</v>
      </c>
      <c r="E8" s="4" t="s">
        <v>5</v>
      </c>
      <c r="F8" s="4" t="s">
        <v>6</v>
      </c>
      <c r="G8" s="4" t="s">
        <v>7</v>
      </c>
      <c r="H8" s="9" t="s">
        <v>57</v>
      </c>
      <c r="I8" s="9" t="s">
        <v>58</v>
      </c>
      <c r="J8" s="9" t="s">
        <v>59</v>
      </c>
      <c r="K8" s="24"/>
    </row>
    <row r="9" spans="1:11" ht="15.75">
      <c r="A9" s="4">
        <v>1</v>
      </c>
      <c r="B9" s="4" t="s">
        <v>10</v>
      </c>
      <c r="C9" s="4">
        <v>8</v>
      </c>
      <c r="D9" s="4">
        <v>1</v>
      </c>
      <c r="E9" s="4">
        <v>6</v>
      </c>
      <c r="F9" s="4">
        <f>1073-400-10-1-25-6-517</f>
        <v>114</v>
      </c>
      <c r="G9" s="4">
        <f>1079-408-10-1-25-6-517</f>
        <v>112</v>
      </c>
      <c r="H9" s="25">
        <v>730000</v>
      </c>
      <c r="I9" s="26">
        <f t="shared" ref="I9:I49" si="0">G9/F9</f>
        <v>0.98245614035087714</v>
      </c>
      <c r="J9" s="27">
        <f t="shared" ref="J9:J49" si="1">H9*G9/1000</f>
        <v>81760</v>
      </c>
      <c r="K9" s="24"/>
    </row>
    <row r="10" spans="1:11" ht="17.25">
      <c r="A10" s="4">
        <v>2</v>
      </c>
      <c r="B10" s="19" t="s">
        <v>10</v>
      </c>
      <c r="C10" s="28">
        <v>10</v>
      </c>
      <c r="D10" s="28">
        <v>1</v>
      </c>
      <c r="E10" s="28">
        <v>6</v>
      </c>
      <c r="F10" s="28">
        <v>842</v>
      </c>
      <c r="G10" s="20">
        <v>1022</v>
      </c>
      <c r="H10" s="29">
        <v>770000</v>
      </c>
      <c r="I10" s="26">
        <f t="shared" si="0"/>
        <v>1.2137767220902613</v>
      </c>
      <c r="J10" s="27">
        <f t="shared" si="1"/>
        <v>786940</v>
      </c>
      <c r="K10" s="24"/>
    </row>
    <row r="11" spans="1:11" ht="17.25">
      <c r="A11" s="4">
        <v>3</v>
      </c>
      <c r="B11" s="19" t="s">
        <v>10</v>
      </c>
      <c r="C11" s="28">
        <v>12</v>
      </c>
      <c r="D11" s="28">
        <v>1.5</v>
      </c>
      <c r="E11" s="28">
        <v>6</v>
      </c>
      <c r="F11" s="28">
        <v>448</v>
      </c>
      <c r="G11" s="20">
        <v>1024</v>
      </c>
      <c r="H11" s="29">
        <v>745000</v>
      </c>
      <c r="I11" s="26">
        <f t="shared" si="0"/>
        <v>2.2857142857142856</v>
      </c>
      <c r="J11" s="27">
        <f t="shared" si="1"/>
        <v>762880</v>
      </c>
      <c r="K11" s="24"/>
    </row>
    <row r="12" spans="1:11" ht="15.75">
      <c r="A12" s="4">
        <v>4</v>
      </c>
      <c r="B12" s="4" t="s">
        <v>10</v>
      </c>
      <c r="C12" s="4">
        <v>16</v>
      </c>
      <c r="D12" s="4">
        <v>2</v>
      </c>
      <c r="E12" s="4">
        <v>6</v>
      </c>
      <c r="F12" s="4">
        <f>91-1</f>
        <v>90</v>
      </c>
      <c r="G12" s="4">
        <f>392-5</f>
        <v>387</v>
      </c>
      <c r="H12" s="30">
        <v>550000</v>
      </c>
      <c r="I12" s="26">
        <f t="shared" si="0"/>
        <v>4.3</v>
      </c>
      <c r="J12" s="27">
        <f t="shared" si="1"/>
        <v>212850</v>
      </c>
      <c r="K12" s="24"/>
    </row>
    <row r="13" spans="1:11" ht="15.75">
      <c r="A13" s="4">
        <v>5</v>
      </c>
      <c r="B13" s="4" t="s">
        <v>10</v>
      </c>
      <c r="C13" s="4">
        <v>18</v>
      </c>
      <c r="D13" s="4">
        <v>3.5</v>
      </c>
      <c r="E13" s="4">
        <v>6</v>
      </c>
      <c r="F13" s="4">
        <f>320-40-17-17-17-17-17-17-4</f>
        <v>174</v>
      </c>
      <c r="G13" s="4">
        <f>2422-8-73-292-125-125-125-125-125-125-30</f>
        <v>1269</v>
      </c>
      <c r="H13" s="30">
        <v>640000</v>
      </c>
      <c r="I13" s="26">
        <f t="shared" si="0"/>
        <v>7.2931034482758621</v>
      </c>
      <c r="J13" s="27">
        <f t="shared" si="1"/>
        <v>812160</v>
      </c>
      <c r="K13" s="24"/>
    </row>
    <row r="14" spans="1:11" ht="17.25">
      <c r="A14" s="4">
        <v>6</v>
      </c>
      <c r="B14" s="19" t="s">
        <v>10</v>
      </c>
      <c r="C14" s="28">
        <v>20</v>
      </c>
      <c r="D14" s="28">
        <v>2</v>
      </c>
      <c r="E14" s="28">
        <v>6</v>
      </c>
      <c r="F14" s="28">
        <v>270</v>
      </c>
      <c r="G14" s="20">
        <v>1490</v>
      </c>
      <c r="H14" s="29">
        <v>600000</v>
      </c>
      <c r="I14" s="26">
        <f t="shared" si="0"/>
        <v>5.5185185185185182</v>
      </c>
      <c r="J14" s="27">
        <f t="shared" si="1"/>
        <v>894000</v>
      </c>
      <c r="K14" s="24"/>
    </row>
    <row r="15" spans="1:11" ht="17.25">
      <c r="A15" s="4">
        <v>7</v>
      </c>
      <c r="B15" s="19" t="s">
        <v>10</v>
      </c>
      <c r="C15" s="28">
        <v>21</v>
      </c>
      <c r="D15" s="28">
        <v>3</v>
      </c>
      <c r="E15" s="28">
        <v>6</v>
      </c>
      <c r="F15" s="28">
        <f>94-2</f>
        <v>92</v>
      </c>
      <c r="G15" s="20">
        <f>727-16</f>
        <v>711</v>
      </c>
      <c r="H15" s="29">
        <v>610000</v>
      </c>
      <c r="I15" s="26">
        <f t="shared" si="0"/>
        <v>7.7282608695652177</v>
      </c>
      <c r="J15" s="27">
        <f t="shared" si="1"/>
        <v>433710</v>
      </c>
      <c r="K15" s="24"/>
    </row>
    <row r="16" spans="1:11" ht="15.75">
      <c r="A16" s="4">
        <v>8</v>
      </c>
      <c r="B16" s="4" t="s">
        <v>10</v>
      </c>
      <c r="C16" s="4">
        <v>27</v>
      </c>
      <c r="D16" s="4">
        <v>3</v>
      </c>
      <c r="E16" s="4">
        <v>6</v>
      </c>
      <c r="F16" s="4">
        <f>128-10-3-4-7-1-27-4-42-2-7-5+105-20-36-1-3-3+76-2-7</f>
        <v>125</v>
      </c>
      <c r="G16" s="4">
        <f>1395-109-33-44-77-11-300-44-454-22-76-54+1122-214-385-11-32-32+811-22-75</f>
        <v>1333</v>
      </c>
      <c r="H16" s="30">
        <v>495000</v>
      </c>
      <c r="I16" s="26">
        <f t="shared" si="0"/>
        <v>10.664</v>
      </c>
      <c r="J16" s="27">
        <f t="shared" si="1"/>
        <v>659835</v>
      </c>
      <c r="K16" s="24"/>
    </row>
    <row r="17" spans="1:11" ht="15.75">
      <c r="A17" s="4">
        <v>9</v>
      </c>
      <c r="B17" s="19" t="s">
        <v>10</v>
      </c>
      <c r="C17" s="19">
        <v>38</v>
      </c>
      <c r="D17" s="19">
        <v>3</v>
      </c>
      <c r="E17" s="19">
        <v>6</v>
      </c>
      <c r="F17" s="19">
        <f>178-8-1-19-5+203-65-203</f>
        <v>80</v>
      </c>
      <c r="G17" s="19">
        <f>2720-123-16-291-77+3174-1008-3174</f>
        <v>1205</v>
      </c>
      <c r="H17" s="25">
        <v>478000</v>
      </c>
      <c r="I17" s="26">
        <f t="shared" si="0"/>
        <v>15.0625</v>
      </c>
      <c r="J17" s="27">
        <f t="shared" si="1"/>
        <v>575990</v>
      </c>
      <c r="K17" s="24"/>
    </row>
    <row r="18" spans="1:11" ht="15.75">
      <c r="A18" s="4">
        <v>10</v>
      </c>
      <c r="B18" s="19" t="s">
        <v>10</v>
      </c>
      <c r="C18" s="19">
        <v>38</v>
      </c>
      <c r="D18" s="19">
        <v>4</v>
      </c>
      <c r="E18" s="19">
        <v>6</v>
      </c>
      <c r="F18" s="19">
        <v>151</v>
      </c>
      <c r="G18" s="19">
        <v>3105</v>
      </c>
      <c r="H18" s="25">
        <v>599000</v>
      </c>
      <c r="I18" s="26">
        <f t="shared" si="0"/>
        <v>20.56291390728477</v>
      </c>
      <c r="J18" s="27">
        <f t="shared" si="1"/>
        <v>1859895</v>
      </c>
      <c r="K18" s="24"/>
    </row>
    <row r="19" spans="1:11" ht="15.75">
      <c r="A19" s="4">
        <v>11</v>
      </c>
      <c r="B19" s="19" t="s">
        <v>10</v>
      </c>
      <c r="C19" s="19">
        <v>38</v>
      </c>
      <c r="D19" s="19">
        <v>5</v>
      </c>
      <c r="E19" s="19">
        <v>6</v>
      </c>
      <c r="F19" s="19">
        <f>67-15+46</f>
        <v>98</v>
      </c>
      <c r="G19" s="19">
        <f>1624-364+1113</f>
        <v>2373</v>
      </c>
      <c r="H19" s="30">
        <v>455000</v>
      </c>
      <c r="I19" s="26">
        <f t="shared" si="0"/>
        <v>24.214285714285715</v>
      </c>
      <c r="J19" s="27">
        <f t="shared" si="1"/>
        <v>1079715</v>
      </c>
      <c r="K19" s="24"/>
    </row>
    <row r="20" spans="1:11" ht="15.75">
      <c r="A20" s="4">
        <v>12</v>
      </c>
      <c r="B20" s="19" t="s">
        <v>10</v>
      </c>
      <c r="C20" s="19">
        <v>38</v>
      </c>
      <c r="D20" s="19">
        <v>6</v>
      </c>
      <c r="E20" s="19">
        <v>6</v>
      </c>
      <c r="F20" s="19">
        <v>129</v>
      </c>
      <c r="G20" s="19">
        <v>3647</v>
      </c>
      <c r="H20" s="30">
        <v>545000</v>
      </c>
      <c r="I20" s="26">
        <f t="shared" si="0"/>
        <v>28.271317829457363</v>
      </c>
      <c r="J20" s="27">
        <f t="shared" si="1"/>
        <v>1987615</v>
      </c>
      <c r="K20" s="24"/>
    </row>
    <row r="21" spans="1:11" ht="15.75">
      <c r="A21" s="4">
        <v>13</v>
      </c>
      <c r="B21" s="19" t="s">
        <v>17</v>
      </c>
      <c r="C21" s="19">
        <v>45</v>
      </c>
      <c r="D21" s="19">
        <v>3</v>
      </c>
      <c r="E21" s="19">
        <v>6</v>
      </c>
      <c r="F21" s="19">
        <f>133-50-4-2-14+135-4-3-50-1+161-4-1-161</f>
        <v>135</v>
      </c>
      <c r="G21" s="19">
        <f>2519-947-76-38-266+2524-76-57-938-19+3121-77-19-3121</f>
        <v>2530</v>
      </c>
      <c r="H21" s="25">
        <v>495000</v>
      </c>
      <c r="I21" s="26">
        <f t="shared" si="0"/>
        <v>18.74074074074074</v>
      </c>
      <c r="J21" s="27">
        <f t="shared" si="1"/>
        <v>1252350</v>
      </c>
      <c r="K21" s="24"/>
    </row>
    <row r="22" spans="1:11" ht="15.75">
      <c r="A22" s="4">
        <v>14</v>
      </c>
      <c r="B22" s="19" t="s">
        <v>10</v>
      </c>
      <c r="C22" s="19">
        <v>45</v>
      </c>
      <c r="D22" s="19">
        <v>3.5</v>
      </c>
      <c r="E22" s="19">
        <v>6</v>
      </c>
      <c r="F22" s="19">
        <v>138</v>
      </c>
      <c r="G22" s="19">
        <v>2946</v>
      </c>
      <c r="H22" s="25">
        <v>550000</v>
      </c>
      <c r="I22" s="26">
        <f t="shared" si="0"/>
        <v>21.347826086956523</v>
      </c>
      <c r="J22" s="27">
        <f t="shared" si="1"/>
        <v>1620300</v>
      </c>
      <c r="K22" s="24"/>
    </row>
    <row r="23" spans="1:11" ht="17.25">
      <c r="A23" s="4">
        <v>15</v>
      </c>
      <c r="B23" s="19" t="s">
        <v>10</v>
      </c>
      <c r="C23" s="28">
        <v>48</v>
      </c>
      <c r="D23" s="28">
        <v>3</v>
      </c>
      <c r="E23" s="28">
        <v>6</v>
      </c>
      <c r="F23" s="31">
        <v>85</v>
      </c>
      <c r="G23" s="31">
        <v>1770</v>
      </c>
      <c r="H23" s="29">
        <v>570000</v>
      </c>
      <c r="I23" s="26">
        <f t="shared" si="0"/>
        <v>20.823529411764707</v>
      </c>
      <c r="J23" s="27">
        <f t="shared" si="1"/>
        <v>1008900</v>
      </c>
      <c r="K23" s="24"/>
    </row>
    <row r="24" spans="1:11" ht="15.75">
      <c r="A24" s="4">
        <v>16</v>
      </c>
      <c r="B24" s="4" t="s">
        <v>10</v>
      </c>
      <c r="C24" s="19">
        <v>57</v>
      </c>
      <c r="D24" s="19">
        <v>3.5</v>
      </c>
      <c r="E24" s="19">
        <v>6</v>
      </c>
      <c r="F24" s="19">
        <f>332-3-4-3-1-18-83-4-70-70-14</f>
        <v>62</v>
      </c>
      <c r="G24" s="19">
        <f>9364-68-114-85-29-509-2316-114-1968-1966-405</f>
        <v>1790</v>
      </c>
      <c r="H24" s="25">
        <v>480000</v>
      </c>
      <c r="I24" s="26">
        <f t="shared" si="0"/>
        <v>28.870967741935484</v>
      </c>
      <c r="J24" s="27">
        <f t="shared" si="1"/>
        <v>859200</v>
      </c>
      <c r="K24" s="24"/>
    </row>
    <row r="25" spans="1:11" ht="15.75">
      <c r="A25" s="4">
        <v>17</v>
      </c>
      <c r="B25" s="19" t="s">
        <v>10</v>
      </c>
      <c r="C25" s="19">
        <v>60</v>
      </c>
      <c r="D25" s="19">
        <v>5</v>
      </c>
      <c r="E25" s="19">
        <v>6</v>
      </c>
      <c r="F25" s="19">
        <v>50</v>
      </c>
      <c r="G25" s="19">
        <v>2113</v>
      </c>
      <c r="H25" s="25">
        <v>480000</v>
      </c>
      <c r="I25" s="26">
        <f t="shared" si="0"/>
        <v>42.26</v>
      </c>
      <c r="J25" s="27">
        <f t="shared" si="1"/>
        <v>1014240</v>
      </c>
      <c r="K25" s="24"/>
    </row>
    <row r="26" spans="1:11" ht="15.75">
      <c r="A26" s="4">
        <v>18</v>
      </c>
      <c r="B26" s="19" t="s">
        <v>10</v>
      </c>
      <c r="C26" s="19">
        <v>76</v>
      </c>
      <c r="D26" s="19">
        <v>3</v>
      </c>
      <c r="E26" s="19">
        <v>6</v>
      </c>
      <c r="F26" s="19">
        <f>163-3-20-30-7-99</f>
        <v>4</v>
      </c>
      <c r="G26" s="19">
        <f>5309-98-682-971-227-3302</f>
        <v>29</v>
      </c>
      <c r="H26" s="25">
        <v>500000</v>
      </c>
      <c r="I26" s="26">
        <f t="shared" si="0"/>
        <v>7.25</v>
      </c>
      <c r="J26" s="27">
        <f t="shared" si="1"/>
        <v>14500</v>
      </c>
      <c r="K26" s="24"/>
    </row>
    <row r="27" spans="1:11" ht="15.75">
      <c r="A27" s="4">
        <v>19</v>
      </c>
      <c r="B27" s="19" t="s">
        <v>10</v>
      </c>
      <c r="C27" s="19">
        <v>76</v>
      </c>
      <c r="D27" s="19">
        <v>4</v>
      </c>
      <c r="E27" s="19">
        <v>6</v>
      </c>
      <c r="F27" s="19">
        <f>136+61-23-2-19-7-19-61</f>
        <v>66</v>
      </c>
      <c r="G27" s="19">
        <f>5836+2599-986-86-814-300-814-2599</f>
        <v>2836</v>
      </c>
      <c r="H27" s="25">
        <v>480000</v>
      </c>
      <c r="I27" s="26">
        <f t="shared" si="0"/>
        <v>42.969696969696969</v>
      </c>
      <c r="J27" s="27">
        <f t="shared" si="1"/>
        <v>1361280</v>
      </c>
      <c r="K27" s="24"/>
    </row>
    <row r="28" spans="1:11" ht="15.75">
      <c r="A28" s="4">
        <v>20</v>
      </c>
      <c r="B28" s="19" t="s">
        <v>10</v>
      </c>
      <c r="C28" s="19">
        <v>76</v>
      </c>
      <c r="D28" s="19">
        <v>4.5</v>
      </c>
      <c r="E28" s="19">
        <v>6</v>
      </c>
      <c r="F28" s="19">
        <v>63</v>
      </c>
      <c r="G28" s="19">
        <v>2962</v>
      </c>
      <c r="H28" s="25">
        <v>500000</v>
      </c>
      <c r="I28" s="26">
        <f t="shared" si="0"/>
        <v>47.015873015873019</v>
      </c>
      <c r="J28" s="27">
        <f t="shared" si="1"/>
        <v>1481000</v>
      </c>
      <c r="K28" s="24"/>
    </row>
    <row r="29" spans="1:11" ht="15.75">
      <c r="A29" s="4">
        <v>21</v>
      </c>
      <c r="B29" s="19" t="s">
        <v>10</v>
      </c>
      <c r="C29" s="19">
        <v>76</v>
      </c>
      <c r="D29" s="19">
        <v>6</v>
      </c>
      <c r="E29" s="19">
        <v>6</v>
      </c>
      <c r="F29" s="19">
        <f>49-10</f>
        <v>39</v>
      </c>
      <c r="G29" s="19">
        <f>3066-626</f>
        <v>2440</v>
      </c>
      <c r="H29" s="25">
        <v>550000</v>
      </c>
      <c r="I29" s="26">
        <f t="shared" si="0"/>
        <v>62.564102564102562</v>
      </c>
      <c r="J29" s="27">
        <f t="shared" si="1"/>
        <v>1342000</v>
      </c>
      <c r="K29" s="24"/>
    </row>
    <row r="30" spans="1:11" ht="15.75">
      <c r="A30" s="4">
        <v>22</v>
      </c>
      <c r="B30" s="4" t="s">
        <v>10</v>
      </c>
      <c r="C30" s="4">
        <v>89</v>
      </c>
      <c r="D30" s="4">
        <v>5</v>
      </c>
      <c r="E30" s="4">
        <v>6</v>
      </c>
      <c r="F30" s="4">
        <f>52-20-7-3-2-3-5-3-1-2</f>
        <v>6</v>
      </c>
      <c r="G30" s="4">
        <f>3276-1260-441-189-126-189-315-189-63-126</f>
        <v>378</v>
      </c>
      <c r="H30" s="30">
        <v>500000</v>
      </c>
      <c r="I30" s="26">
        <f t="shared" si="0"/>
        <v>63</v>
      </c>
      <c r="J30" s="27">
        <f t="shared" si="1"/>
        <v>189000</v>
      </c>
      <c r="K30" s="24"/>
    </row>
    <row r="31" spans="1:11" ht="17.25">
      <c r="A31" s="4">
        <v>23</v>
      </c>
      <c r="B31" s="19" t="s">
        <v>10</v>
      </c>
      <c r="C31" s="28">
        <v>108</v>
      </c>
      <c r="D31" s="28">
        <v>3</v>
      </c>
      <c r="E31" s="28">
        <v>6</v>
      </c>
      <c r="F31" s="28">
        <f>30-10-1</f>
        <v>19</v>
      </c>
      <c r="G31" s="20">
        <f>1423-475-48</f>
        <v>900</v>
      </c>
      <c r="H31" s="29">
        <v>500000</v>
      </c>
      <c r="I31" s="26">
        <f t="shared" si="0"/>
        <v>47.368421052631582</v>
      </c>
      <c r="J31" s="27">
        <f t="shared" si="1"/>
        <v>450000</v>
      </c>
      <c r="K31" s="24"/>
    </row>
    <row r="32" spans="1:11" ht="15.75">
      <c r="A32" s="4">
        <v>24</v>
      </c>
      <c r="B32" s="19" t="s">
        <v>10</v>
      </c>
      <c r="C32" s="19">
        <v>108</v>
      </c>
      <c r="D32" s="19">
        <v>3.5</v>
      </c>
      <c r="E32" s="19">
        <v>6</v>
      </c>
      <c r="F32" s="19">
        <f>50-2</f>
        <v>48</v>
      </c>
      <c r="G32" s="19">
        <f>2713-110</f>
        <v>2603</v>
      </c>
      <c r="H32" s="25">
        <v>520000</v>
      </c>
      <c r="I32" s="26">
        <f t="shared" si="0"/>
        <v>54.229166666666664</v>
      </c>
      <c r="J32" s="27">
        <f t="shared" si="1"/>
        <v>1353560</v>
      </c>
      <c r="K32" s="24"/>
    </row>
    <row r="33" spans="1:11" ht="15.75">
      <c r="A33" s="4">
        <v>25</v>
      </c>
      <c r="B33" s="4" t="s">
        <v>10</v>
      </c>
      <c r="C33" s="19">
        <v>108</v>
      </c>
      <c r="D33" s="19">
        <v>4</v>
      </c>
      <c r="E33" s="19" t="s">
        <v>21</v>
      </c>
      <c r="F33" s="19">
        <f>72-23-16</f>
        <v>33</v>
      </c>
      <c r="G33" s="19">
        <f>4533-1445-1002</f>
        <v>2086</v>
      </c>
      <c r="H33" s="30">
        <v>492000</v>
      </c>
      <c r="I33" s="26">
        <f t="shared" si="0"/>
        <v>63.212121212121211</v>
      </c>
      <c r="J33" s="27">
        <f t="shared" si="1"/>
        <v>1026312</v>
      </c>
      <c r="K33" s="24"/>
    </row>
    <row r="34" spans="1:11" ht="15.75">
      <c r="A34" s="4">
        <v>26</v>
      </c>
      <c r="B34" s="4" t="s">
        <v>10</v>
      </c>
      <c r="C34" s="19">
        <v>114</v>
      </c>
      <c r="D34" s="19">
        <v>6</v>
      </c>
      <c r="E34" s="19" t="s">
        <v>60</v>
      </c>
      <c r="F34" s="19">
        <v>3</v>
      </c>
      <c r="G34" s="19">
        <v>258</v>
      </c>
      <c r="H34" s="30">
        <v>470000</v>
      </c>
      <c r="I34" s="26">
        <f t="shared" si="0"/>
        <v>86</v>
      </c>
      <c r="J34" s="27">
        <f t="shared" si="1"/>
        <v>121260</v>
      </c>
      <c r="K34" s="24"/>
    </row>
    <row r="35" spans="1:11" ht="15.75">
      <c r="A35" s="4">
        <v>27</v>
      </c>
      <c r="B35" s="19" t="s">
        <v>10</v>
      </c>
      <c r="C35" s="19">
        <v>114</v>
      </c>
      <c r="D35" s="19">
        <v>6</v>
      </c>
      <c r="E35" s="19">
        <v>6</v>
      </c>
      <c r="F35" s="19">
        <f>51-2-5-1</f>
        <v>43</v>
      </c>
      <c r="G35" s="19">
        <f>4948-194-486-97</f>
        <v>4171</v>
      </c>
      <c r="H35" s="30">
        <v>485000</v>
      </c>
      <c r="I35" s="26">
        <f t="shared" si="0"/>
        <v>97</v>
      </c>
      <c r="J35" s="27">
        <f t="shared" si="1"/>
        <v>2022935</v>
      </c>
      <c r="K35" s="24"/>
    </row>
    <row r="36" spans="1:11" ht="15.75">
      <c r="A36" s="4">
        <v>28</v>
      </c>
      <c r="B36" s="19" t="s">
        <v>10</v>
      </c>
      <c r="C36" s="19">
        <v>133</v>
      </c>
      <c r="D36" s="19">
        <v>5</v>
      </c>
      <c r="E36" s="19">
        <v>6</v>
      </c>
      <c r="F36" s="19">
        <f>11+22-1-2-22</f>
        <v>8</v>
      </c>
      <c r="G36" s="19">
        <f>1103+2096-97-194-2096</f>
        <v>812</v>
      </c>
      <c r="H36" s="25">
        <v>500000</v>
      </c>
      <c r="I36" s="26">
        <f t="shared" si="0"/>
        <v>101.5</v>
      </c>
      <c r="J36" s="27">
        <f t="shared" si="1"/>
        <v>406000</v>
      </c>
      <c r="K36" s="24"/>
    </row>
    <row r="37" spans="1:11" ht="15.75">
      <c r="A37" s="4">
        <v>29</v>
      </c>
      <c r="B37" s="19" t="s">
        <v>10</v>
      </c>
      <c r="C37" s="19">
        <v>133</v>
      </c>
      <c r="D37" s="19">
        <v>6</v>
      </c>
      <c r="E37" s="19">
        <v>6</v>
      </c>
      <c r="F37" s="19">
        <f>9+8</f>
        <v>17</v>
      </c>
      <c r="G37" s="19">
        <f>1032+923</f>
        <v>1955</v>
      </c>
      <c r="H37" s="25">
        <v>500000</v>
      </c>
      <c r="I37" s="26">
        <f t="shared" si="0"/>
        <v>115</v>
      </c>
      <c r="J37" s="27">
        <f t="shared" si="1"/>
        <v>977500</v>
      </c>
      <c r="K37" s="24"/>
    </row>
    <row r="38" spans="1:11" ht="15.75">
      <c r="A38" s="4">
        <v>30</v>
      </c>
      <c r="B38" s="19" t="s">
        <v>10</v>
      </c>
      <c r="C38" s="19">
        <v>159</v>
      </c>
      <c r="D38" s="19">
        <v>4</v>
      </c>
      <c r="E38" s="19">
        <v>6</v>
      </c>
      <c r="F38" s="19">
        <f>32+7-21-9-2</f>
        <v>7</v>
      </c>
      <c r="G38" s="19">
        <f>3020+657-1987-845-188</f>
        <v>657</v>
      </c>
      <c r="H38" s="25">
        <v>500000</v>
      </c>
      <c r="I38" s="26">
        <f t="shared" si="0"/>
        <v>93.857142857142861</v>
      </c>
      <c r="J38" s="27">
        <f t="shared" si="1"/>
        <v>328500</v>
      </c>
      <c r="K38" s="24"/>
    </row>
    <row r="39" spans="1:11" ht="15.75">
      <c r="A39" s="4">
        <v>31</v>
      </c>
      <c r="B39" s="19" t="s">
        <v>10</v>
      </c>
      <c r="C39" s="19">
        <v>159</v>
      </c>
      <c r="D39" s="19">
        <v>5</v>
      </c>
      <c r="E39" s="19">
        <v>6</v>
      </c>
      <c r="F39" s="19">
        <f>27+6-1-5</f>
        <v>27</v>
      </c>
      <c r="G39" s="19">
        <f>3016+670-112-559</f>
        <v>3015</v>
      </c>
      <c r="H39" s="25">
        <v>500000</v>
      </c>
      <c r="I39" s="26">
        <f t="shared" si="0"/>
        <v>111.66666666666667</v>
      </c>
      <c r="J39" s="27">
        <f t="shared" si="1"/>
        <v>1507500</v>
      </c>
      <c r="K39" s="24"/>
    </row>
    <row r="40" spans="1:11" ht="15.75">
      <c r="A40" s="4">
        <v>32</v>
      </c>
      <c r="B40" s="19" t="s">
        <v>10</v>
      </c>
      <c r="C40" s="19">
        <v>159</v>
      </c>
      <c r="D40" s="19">
        <v>6</v>
      </c>
      <c r="E40" s="19">
        <v>6</v>
      </c>
      <c r="F40" s="19">
        <f>8-5+21-2-1</f>
        <v>21</v>
      </c>
      <c r="G40" s="19">
        <f>1142-714+3005-286-143</f>
        <v>3004</v>
      </c>
      <c r="H40" s="25">
        <v>500000</v>
      </c>
      <c r="I40" s="26">
        <f t="shared" si="0"/>
        <v>143.04761904761904</v>
      </c>
      <c r="J40" s="27">
        <f t="shared" si="1"/>
        <v>1502000</v>
      </c>
      <c r="K40" s="24"/>
    </row>
    <row r="41" spans="1:11" ht="15.75">
      <c r="A41" s="4">
        <v>33</v>
      </c>
      <c r="B41" s="19" t="s">
        <v>10</v>
      </c>
      <c r="C41" s="19">
        <v>168</v>
      </c>
      <c r="D41" s="19">
        <v>6</v>
      </c>
      <c r="E41" s="19">
        <v>6</v>
      </c>
      <c r="F41" s="19">
        <f>11-6+10-2-5</f>
        <v>8</v>
      </c>
      <c r="G41" s="19">
        <f>1606-876+1469-294-733</f>
        <v>1172</v>
      </c>
      <c r="H41" s="25">
        <v>530000</v>
      </c>
      <c r="I41" s="26">
        <f t="shared" si="0"/>
        <v>146.5</v>
      </c>
      <c r="J41" s="27">
        <f t="shared" si="1"/>
        <v>621160</v>
      </c>
      <c r="K41" s="24"/>
    </row>
    <row r="42" spans="1:11" ht="15.75">
      <c r="A42" s="4">
        <v>34</v>
      </c>
      <c r="B42" s="19" t="s">
        <v>10</v>
      </c>
      <c r="C42" s="19">
        <v>168</v>
      </c>
      <c r="D42" s="19">
        <v>7</v>
      </c>
      <c r="E42" s="19">
        <v>6</v>
      </c>
      <c r="F42" s="19">
        <f>10+13+5-2-13</f>
        <v>13</v>
      </c>
      <c r="G42" s="19">
        <f>1710+2160+856-338-2160</f>
        <v>2228</v>
      </c>
      <c r="H42" s="25">
        <v>530000</v>
      </c>
      <c r="I42" s="26">
        <f t="shared" si="0"/>
        <v>171.38461538461539</v>
      </c>
      <c r="J42" s="27">
        <f t="shared" si="1"/>
        <v>1180840</v>
      </c>
      <c r="K42" s="24"/>
    </row>
    <row r="43" spans="1:11" ht="15.75">
      <c r="A43" s="4">
        <v>35</v>
      </c>
      <c r="B43" s="4" t="s">
        <v>10</v>
      </c>
      <c r="C43" s="19">
        <v>219</v>
      </c>
      <c r="D43" s="19">
        <v>6</v>
      </c>
      <c r="E43" s="19" t="s">
        <v>28</v>
      </c>
      <c r="F43" s="19">
        <v>1</v>
      </c>
      <c r="G43" s="19">
        <v>202</v>
      </c>
      <c r="H43" s="25">
        <v>550000</v>
      </c>
      <c r="I43" s="26">
        <f t="shared" si="0"/>
        <v>202</v>
      </c>
      <c r="J43" s="27">
        <f t="shared" si="1"/>
        <v>111100</v>
      </c>
      <c r="K43" s="24"/>
    </row>
    <row r="44" spans="1:11" ht="15.75">
      <c r="A44" s="4">
        <v>36</v>
      </c>
      <c r="B44" s="19" t="s">
        <v>17</v>
      </c>
      <c r="C44" s="19">
        <v>219</v>
      </c>
      <c r="D44" s="19">
        <v>6</v>
      </c>
      <c r="E44" s="19">
        <v>6</v>
      </c>
      <c r="F44" s="19">
        <f>14+16-1-1-16</f>
        <v>12</v>
      </c>
      <c r="G44" s="19">
        <f>2707+3101-194-194-3101</f>
        <v>2319</v>
      </c>
      <c r="H44" s="25">
        <v>600000</v>
      </c>
      <c r="I44" s="26">
        <f t="shared" si="0"/>
        <v>193.25</v>
      </c>
      <c r="J44" s="27">
        <f t="shared" si="1"/>
        <v>1391400</v>
      </c>
      <c r="K44" s="24"/>
    </row>
    <row r="45" spans="1:11" ht="17.25">
      <c r="A45" s="4">
        <v>37</v>
      </c>
      <c r="B45" s="19" t="s">
        <v>10</v>
      </c>
      <c r="C45" s="28">
        <v>219</v>
      </c>
      <c r="D45" s="28">
        <v>8</v>
      </c>
      <c r="E45" s="28">
        <v>6</v>
      </c>
      <c r="F45" s="28">
        <v>17</v>
      </c>
      <c r="G45" s="20">
        <v>4322</v>
      </c>
      <c r="H45" s="29">
        <v>620000</v>
      </c>
      <c r="I45" s="26">
        <f t="shared" si="0"/>
        <v>254.23529411764707</v>
      </c>
      <c r="J45" s="27">
        <f t="shared" si="1"/>
        <v>2679640</v>
      </c>
      <c r="K45" s="24"/>
    </row>
    <row r="46" spans="1:11" ht="15.75">
      <c r="A46" s="4">
        <v>38</v>
      </c>
      <c r="B46" s="4" t="s">
        <v>10</v>
      </c>
      <c r="C46" s="19">
        <v>219</v>
      </c>
      <c r="D46" s="19">
        <v>10</v>
      </c>
      <c r="E46" s="19">
        <v>6</v>
      </c>
      <c r="F46" s="19">
        <f>3+10-10</f>
        <v>3</v>
      </c>
      <c r="G46" s="19">
        <f>913+3155-3155</f>
        <v>913</v>
      </c>
      <c r="H46" s="25">
        <v>510000</v>
      </c>
      <c r="I46" s="26">
        <f t="shared" si="0"/>
        <v>304.33333333333331</v>
      </c>
      <c r="J46" s="27">
        <f t="shared" si="1"/>
        <v>465630</v>
      </c>
      <c r="K46" s="24"/>
    </row>
    <row r="47" spans="1:11" ht="15.75">
      <c r="A47" s="4">
        <v>39</v>
      </c>
      <c r="B47" s="19" t="s">
        <v>17</v>
      </c>
      <c r="C47" s="19">
        <v>219</v>
      </c>
      <c r="D47" s="19">
        <v>12.7</v>
      </c>
      <c r="E47" s="19">
        <v>6</v>
      </c>
      <c r="F47" s="19">
        <f>1+9</f>
        <v>10</v>
      </c>
      <c r="G47" s="19">
        <f>400+3309</f>
        <v>3709</v>
      </c>
      <c r="H47" s="25">
        <v>570000</v>
      </c>
      <c r="I47" s="26">
        <f t="shared" si="0"/>
        <v>370.9</v>
      </c>
      <c r="J47" s="27">
        <f t="shared" si="1"/>
        <v>2114130</v>
      </c>
      <c r="K47" s="24"/>
    </row>
    <row r="48" spans="1:11" ht="15.75">
      <c r="A48" s="4">
        <v>40</v>
      </c>
      <c r="B48" s="4" t="s">
        <v>10</v>
      </c>
      <c r="C48" s="19">
        <v>273</v>
      </c>
      <c r="D48" s="19">
        <v>6</v>
      </c>
      <c r="E48" s="19" t="s">
        <v>21</v>
      </c>
      <c r="F48" s="19">
        <f>20+12-2-2-12</f>
        <v>16</v>
      </c>
      <c r="G48" s="19">
        <f>5036+3021-506-504-3021</f>
        <v>4026</v>
      </c>
      <c r="H48" s="25">
        <v>490000</v>
      </c>
      <c r="I48" s="26">
        <f t="shared" si="0"/>
        <v>251.625</v>
      </c>
      <c r="J48" s="27">
        <f t="shared" si="1"/>
        <v>1972740</v>
      </c>
      <c r="K48" s="24"/>
    </row>
    <row r="49" spans="1:11" ht="15.75">
      <c r="A49" s="4">
        <v>41</v>
      </c>
      <c r="B49" s="19" t="s">
        <v>10</v>
      </c>
      <c r="C49" s="19">
        <v>273</v>
      </c>
      <c r="D49" s="19">
        <v>8</v>
      </c>
      <c r="E49" s="19">
        <v>6</v>
      </c>
      <c r="F49" s="19">
        <f>4+8-8+9-4</f>
        <v>9</v>
      </c>
      <c r="G49" s="19">
        <f>1328+2629-2638+2971-1319</f>
        <v>2971</v>
      </c>
      <c r="H49" s="25">
        <v>465000</v>
      </c>
      <c r="I49" s="26">
        <f t="shared" si="0"/>
        <v>330.11111111111109</v>
      </c>
      <c r="J49" s="27">
        <f t="shared" si="1"/>
        <v>1381515</v>
      </c>
      <c r="K49" s="24"/>
    </row>
    <row r="50" spans="1:11" ht="15.75">
      <c r="A50" s="4"/>
      <c r="B50" s="4"/>
      <c r="C50" s="4"/>
      <c r="D50" s="4"/>
      <c r="E50" s="4"/>
      <c r="F50" s="4"/>
      <c r="G50" s="4"/>
      <c r="H50" s="32"/>
      <c r="I50" s="9"/>
      <c r="J50" s="27"/>
      <c r="K50" s="24"/>
    </row>
    <row r="51" spans="1:11" ht="15.75">
      <c r="A51" s="4"/>
      <c r="B51" s="4"/>
      <c r="C51" s="4"/>
      <c r="D51" s="4"/>
      <c r="E51" s="4"/>
      <c r="F51" s="4">
        <f>SUM(F9:F50)</f>
        <v>3576</v>
      </c>
      <c r="G51" s="4">
        <f>SUM(G9:G50)</f>
        <v>78795</v>
      </c>
      <c r="H51" s="32"/>
      <c r="I51" s="9"/>
      <c r="J51" s="27">
        <f>SUM(J9:J50)</f>
        <v>41903842</v>
      </c>
      <c r="K51" s="24"/>
    </row>
    <row r="52" spans="1:11" ht="15.75">
      <c r="A52" s="8"/>
      <c r="B52" s="8"/>
      <c r="C52" s="8"/>
      <c r="D52" s="8"/>
      <c r="E52" s="8"/>
      <c r="F52" s="8"/>
      <c r="G52" s="8"/>
      <c r="H52" s="8"/>
      <c r="I52" s="8"/>
      <c r="J52" s="8"/>
      <c r="K52" s="24"/>
    </row>
    <row r="53" spans="1:11" ht="15.75">
      <c r="A53" s="8"/>
      <c r="B53" s="8"/>
      <c r="C53" s="8"/>
      <c r="D53" s="8"/>
      <c r="E53" s="8"/>
      <c r="F53" s="8"/>
      <c r="G53" s="8"/>
      <c r="H53" s="8"/>
      <c r="I53" s="8"/>
      <c r="J53" s="8"/>
      <c r="K53" s="24"/>
    </row>
    <row r="54" spans="1:11" ht="15.75">
      <c r="A54" s="8"/>
      <c r="B54" s="8"/>
      <c r="C54" s="8"/>
      <c r="D54" s="8"/>
      <c r="E54" s="8"/>
      <c r="F54" s="8"/>
      <c r="G54" s="8"/>
      <c r="H54" s="8"/>
      <c r="I54" s="8"/>
      <c r="J54" s="8"/>
      <c r="K54" s="24"/>
    </row>
    <row r="55" spans="1:11" ht="15.75">
      <c r="A55" s="8"/>
      <c r="B55" s="8"/>
      <c r="C55" s="8"/>
      <c r="D55" s="8"/>
      <c r="E55" s="8"/>
      <c r="F55" s="8"/>
      <c r="G55" s="8"/>
      <c r="H55" s="8"/>
      <c r="I55" s="8"/>
      <c r="J55" s="8"/>
      <c r="K55" s="24"/>
    </row>
    <row r="56" spans="1:11" ht="15.75">
      <c r="A56" s="8"/>
      <c r="B56" s="8"/>
      <c r="C56" s="8"/>
      <c r="D56" s="8"/>
      <c r="E56" s="8"/>
      <c r="F56" s="8"/>
      <c r="G56" s="8"/>
      <c r="H56" s="8"/>
      <c r="I56" s="8"/>
      <c r="J56" s="8"/>
      <c r="K56" s="24"/>
    </row>
    <row r="57" spans="1:11" ht="15.75">
      <c r="A57" s="8"/>
      <c r="B57" s="8"/>
      <c r="C57" s="8"/>
      <c r="D57" s="8"/>
      <c r="E57" s="8"/>
      <c r="F57" s="8"/>
      <c r="G57" s="8"/>
      <c r="H57" s="8"/>
      <c r="I57" s="8"/>
      <c r="J57" s="8"/>
      <c r="K57" s="24"/>
    </row>
    <row r="58" spans="1:11" ht="15.75">
      <c r="A58" s="8"/>
      <c r="B58" s="8"/>
      <c r="C58" s="8"/>
      <c r="D58" s="8"/>
      <c r="E58" s="8"/>
      <c r="F58" s="8"/>
      <c r="G58" s="8"/>
      <c r="H58" s="8"/>
      <c r="I58" s="8"/>
      <c r="J58" s="8"/>
      <c r="K58" s="24"/>
    </row>
    <row r="59" spans="1:11" ht="15.75">
      <c r="A59" s="8"/>
      <c r="B59" s="8"/>
      <c r="C59" s="8"/>
      <c r="D59" s="8"/>
      <c r="E59" s="8"/>
      <c r="F59" s="8"/>
      <c r="G59" s="8"/>
      <c r="H59" s="8"/>
      <c r="I59" s="8"/>
      <c r="J59" s="8"/>
      <c r="K59" s="24"/>
    </row>
    <row r="60" spans="1:11" ht="15.75">
      <c r="A60" s="8"/>
      <c r="B60" s="8"/>
      <c r="C60" s="8"/>
      <c r="D60" s="8"/>
      <c r="E60" s="8"/>
      <c r="F60" s="8"/>
      <c r="G60" s="8"/>
      <c r="H60" s="8"/>
      <c r="I60" s="8"/>
      <c r="J60" s="8"/>
      <c r="K60" s="24"/>
    </row>
    <row r="61" spans="1:11" ht="15.75">
      <c r="A61" s="8"/>
      <c r="B61" s="8"/>
      <c r="C61" s="8"/>
      <c r="D61" s="8"/>
      <c r="E61" s="8"/>
      <c r="F61" s="8"/>
      <c r="G61" s="8"/>
      <c r="H61" s="8"/>
      <c r="I61" s="8"/>
      <c r="J61" s="8"/>
      <c r="K61" s="24"/>
    </row>
    <row r="62" spans="1:11" ht="15.75">
      <c r="A62" s="8"/>
      <c r="B62" s="8"/>
      <c r="C62" s="8"/>
      <c r="D62" s="8"/>
      <c r="E62" s="8"/>
      <c r="F62" s="8"/>
      <c r="G62" s="8"/>
      <c r="H62" s="8"/>
      <c r="I62" s="8"/>
      <c r="J62" s="8"/>
      <c r="K62" s="24"/>
    </row>
    <row r="63" spans="1:11" ht="15.75">
      <c r="A63" s="8"/>
      <c r="B63" s="8"/>
      <c r="C63" s="8"/>
      <c r="D63" s="8"/>
      <c r="E63" s="8"/>
      <c r="F63" s="8"/>
      <c r="G63" s="8"/>
      <c r="H63" s="8"/>
      <c r="I63" s="8"/>
      <c r="J63" s="8"/>
      <c r="K63" s="24"/>
    </row>
    <row r="64" spans="1:11" ht="15.75">
      <c r="A64" s="8"/>
      <c r="B64" s="8"/>
      <c r="C64" s="8"/>
      <c r="D64" s="8"/>
      <c r="E64" s="8"/>
      <c r="F64" s="8"/>
      <c r="G64" s="8"/>
      <c r="H64" s="8"/>
      <c r="I64" s="8"/>
      <c r="J64" s="8"/>
      <c r="K64" s="24"/>
    </row>
    <row r="65" spans="1:11" ht="15.75">
      <c r="A65" s="8"/>
      <c r="B65" s="8"/>
      <c r="C65" s="8"/>
      <c r="D65" s="8"/>
      <c r="E65" s="8"/>
      <c r="F65" s="8"/>
      <c r="G65" s="8"/>
      <c r="H65" s="8"/>
      <c r="I65" s="8"/>
      <c r="J65" s="8"/>
      <c r="K65" s="24"/>
    </row>
    <row r="66" spans="1:11" ht="15.75">
      <c r="A66" s="8"/>
      <c r="B66" s="8"/>
      <c r="C66" s="8"/>
      <c r="D66" s="8"/>
      <c r="E66" s="8"/>
      <c r="F66" s="8"/>
      <c r="G66" s="8"/>
      <c r="H66" s="8"/>
      <c r="I66" s="8"/>
      <c r="J66" s="8"/>
      <c r="K66" s="24"/>
    </row>
    <row r="67" spans="1:11" ht="15.75">
      <c r="A67" s="8"/>
      <c r="B67" s="8"/>
      <c r="C67" s="8"/>
      <c r="D67" s="8"/>
      <c r="E67" s="8"/>
      <c r="F67" s="8"/>
      <c r="G67" s="8"/>
      <c r="H67" s="8"/>
      <c r="I67" s="8"/>
      <c r="J67" s="8"/>
      <c r="K67" s="24"/>
    </row>
    <row r="68" spans="1:11" ht="15.75">
      <c r="A68" s="8"/>
      <c r="B68" s="8"/>
      <c r="C68" s="8"/>
      <c r="D68" s="8"/>
      <c r="E68" s="8"/>
      <c r="F68" s="8"/>
      <c r="G68" s="8"/>
      <c r="H68" s="8"/>
      <c r="I68" s="8"/>
      <c r="J68" s="8"/>
      <c r="K68" s="24"/>
    </row>
    <row r="69" spans="1:11" ht="15.75">
      <c r="A69" s="8"/>
      <c r="B69" s="8"/>
      <c r="C69" s="8"/>
      <c r="D69" s="8"/>
      <c r="E69" s="8"/>
      <c r="F69" s="8"/>
      <c r="G69" s="8"/>
      <c r="H69" s="8"/>
      <c r="I69" s="8"/>
      <c r="J69" s="8"/>
      <c r="K69" s="24"/>
    </row>
    <row r="70" spans="1:11" ht="15.75">
      <c r="A70" s="8"/>
      <c r="B70" s="8"/>
      <c r="C70" s="8"/>
      <c r="D70" s="8"/>
      <c r="E70" s="8"/>
      <c r="F70" s="8"/>
      <c r="G70" s="8"/>
      <c r="H70" s="8"/>
      <c r="I70" s="8"/>
      <c r="J70" s="8"/>
      <c r="K70" s="24"/>
    </row>
    <row r="71" spans="1:11" ht="15.75">
      <c r="A71" s="8"/>
      <c r="B71" s="8"/>
      <c r="C71" s="8"/>
      <c r="D71" s="8"/>
      <c r="E71" s="8"/>
      <c r="F71" s="8"/>
      <c r="G71" s="8"/>
      <c r="H71" s="8"/>
      <c r="I71" s="8"/>
      <c r="J71" s="8"/>
      <c r="K71" s="24"/>
    </row>
    <row r="72" spans="1:11" ht="15.75">
      <c r="A72" s="8"/>
      <c r="B72" s="8"/>
      <c r="C72" s="8"/>
      <c r="D72" s="8"/>
      <c r="E72" s="8"/>
      <c r="F72" s="8"/>
      <c r="G72" s="8"/>
      <c r="H72" s="8"/>
      <c r="I72" s="8"/>
      <c r="J72" s="8"/>
      <c r="K72" s="24"/>
    </row>
    <row r="73" spans="1:11" ht="15.75">
      <c r="A73" s="8"/>
      <c r="B73" s="8"/>
      <c r="C73" s="8"/>
      <c r="D73" s="8"/>
      <c r="E73" s="8"/>
      <c r="F73" s="8"/>
      <c r="G73" s="8"/>
      <c r="H73" s="8"/>
      <c r="I73" s="8"/>
      <c r="J73" s="8"/>
      <c r="K73" s="24"/>
    </row>
    <row r="74" spans="1:11" ht="15.75">
      <c r="A74" s="8"/>
      <c r="B74" s="8"/>
      <c r="C74" s="8"/>
      <c r="D74" s="8"/>
      <c r="E74" s="8"/>
      <c r="F74" s="8"/>
      <c r="G74" s="8"/>
      <c r="H74" s="8"/>
      <c r="I74" s="8"/>
      <c r="J74" s="8"/>
      <c r="K74" s="24"/>
    </row>
    <row r="75" spans="1:11" ht="15.75">
      <c r="A75" s="8"/>
      <c r="B75" s="8"/>
      <c r="C75" s="8"/>
      <c r="D75" s="8"/>
      <c r="E75" s="8"/>
      <c r="F75" s="8"/>
      <c r="G75" s="8"/>
      <c r="H75" s="8"/>
      <c r="I75" s="8"/>
      <c r="J75" s="8"/>
      <c r="K75" s="24"/>
    </row>
    <row r="76" spans="1:11" ht="15.75">
      <c r="A76" s="8"/>
      <c r="B76" s="8"/>
      <c r="C76" s="8"/>
      <c r="D76" s="8"/>
      <c r="E76" s="8"/>
      <c r="F76" s="8"/>
      <c r="G76" s="8"/>
      <c r="H76" s="8"/>
      <c r="I76" s="8"/>
      <c r="J76" s="8"/>
      <c r="K76" s="24"/>
    </row>
    <row r="77" spans="1:11" ht="15.75">
      <c r="A77" s="8"/>
      <c r="B77" s="8"/>
      <c r="C77" s="8"/>
      <c r="D77" s="8"/>
      <c r="E77" s="8"/>
      <c r="F77" s="8"/>
      <c r="G77" s="8"/>
      <c r="H77" s="8"/>
      <c r="I77" s="8"/>
      <c r="J77" s="8"/>
      <c r="K77" s="24"/>
    </row>
    <row r="78" spans="1:11" ht="15.75">
      <c r="A78" s="8"/>
      <c r="B78" s="8"/>
      <c r="C78" s="8"/>
      <c r="D78" s="8"/>
      <c r="E78" s="8"/>
      <c r="F78" s="8"/>
      <c r="G78" s="8"/>
      <c r="H78" s="8"/>
      <c r="I78" s="8"/>
      <c r="J78" s="8"/>
      <c r="K78" s="24"/>
    </row>
    <row r="79" spans="1:11" ht="15.75">
      <c r="A79" s="8"/>
      <c r="B79" s="8"/>
      <c r="C79" s="8"/>
      <c r="D79" s="8"/>
      <c r="E79" s="8"/>
      <c r="F79" s="8"/>
      <c r="G79" s="8"/>
      <c r="H79" s="8"/>
      <c r="I79" s="8"/>
      <c r="J79" s="8"/>
      <c r="K79" s="24"/>
    </row>
    <row r="80" spans="1:11" ht="15.75">
      <c r="A80" s="8"/>
      <c r="B80" s="8"/>
      <c r="C80" s="8"/>
      <c r="D80" s="8"/>
      <c r="E80" s="8"/>
      <c r="F80" s="8"/>
      <c r="G80" s="8"/>
      <c r="H80" s="8"/>
      <c r="I80" s="8"/>
      <c r="J80" s="8"/>
      <c r="K80" s="24"/>
    </row>
    <row r="81" spans="1:11" ht="15.75">
      <c r="A81" s="8"/>
      <c r="B81" s="8"/>
      <c r="C81" s="8"/>
      <c r="D81" s="8"/>
      <c r="E81" s="8"/>
      <c r="F81" s="8"/>
      <c r="G81" s="8"/>
      <c r="H81" s="8"/>
      <c r="I81" s="8"/>
      <c r="J81" s="8"/>
      <c r="K81" s="24"/>
    </row>
    <row r="82" spans="1:11" ht="15.75">
      <c r="A82" s="8"/>
      <c r="B82" s="8"/>
      <c r="C82" s="8"/>
      <c r="D82" s="8"/>
      <c r="E82" s="8"/>
      <c r="F82" s="8"/>
      <c r="G82" s="8"/>
      <c r="H82" s="8"/>
      <c r="I82" s="8"/>
      <c r="J82" s="8"/>
      <c r="K82" s="24"/>
    </row>
    <row r="83" spans="1:11" ht="15.75">
      <c r="A83" s="8"/>
      <c r="B83" s="8"/>
      <c r="C83" s="8"/>
      <c r="D83" s="8"/>
      <c r="E83" s="8"/>
      <c r="F83" s="8"/>
      <c r="G83" s="8"/>
      <c r="H83" s="8"/>
      <c r="I83" s="8"/>
      <c r="J83" s="8"/>
      <c r="K83" s="24"/>
    </row>
    <row r="84" spans="1:11" ht="15.75">
      <c r="A84" s="8"/>
      <c r="B84" s="8"/>
      <c r="C84" s="8"/>
      <c r="D84" s="8"/>
      <c r="E84" s="8"/>
      <c r="F84" s="8"/>
      <c r="G84" s="8"/>
      <c r="H84" s="8"/>
      <c r="I84" s="8"/>
      <c r="J84" s="8"/>
      <c r="K84" s="24"/>
    </row>
    <row r="85" spans="1:11" ht="15.75">
      <c r="A85" s="8"/>
      <c r="B85" s="8"/>
      <c r="C85" s="8"/>
      <c r="D85" s="8"/>
      <c r="E85" s="8"/>
      <c r="F85" s="8"/>
      <c r="G85" s="8"/>
      <c r="H85" s="8"/>
      <c r="I85" s="8"/>
      <c r="J85" s="8"/>
      <c r="K85" s="24"/>
    </row>
    <row r="86" spans="1:11" ht="15.75">
      <c r="A86" s="8"/>
      <c r="B86" s="8"/>
      <c r="C86" s="8"/>
      <c r="D86" s="8"/>
      <c r="E86" s="8"/>
      <c r="F86" s="8"/>
      <c r="G86" s="8"/>
      <c r="H86" s="8"/>
      <c r="I86" s="8"/>
      <c r="J86" s="8"/>
      <c r="K86" s="24"/>
    </row>
    <row r="87" spans="1:11" ht="15.75">
      <c r="A87" s="8"/>
      <c r="B87" s="8"/>
      <c r="C87" s="8"/>
      <c r="D87" s="8"/>
      <c r="E87" s="8"/>
      <c r="F87" s="8"/>
      <c r="G87" s="8"/>
      <c r="H87" s="8"/>
      <c r="I87" s="8"/>
      <c r="J87" s="8"/>
      <c r="K87" s="24"/>
    </row>
    <row r="88" spans="1:11" ht="15.75">
      <c r="A88" s="8"/>
      <c r="B88" s="8"/>
      <c r="C88" s="8"/>
      <c r="D88" s="8"/>
      <c r="E88" s="8"/>
      <c r="F88" s="8"/>
      <c r="G88" s="8"/>
      <c r="H88" s="8"/>
      <c r="I88" s="8"/>
      <c r="J88" s="8"/>
      <c r="K88" s="24"/>
    </row>
    <row r="89" spans="1:11" ht="15.75">
      <c r="A89" s="8"/>
      <c r="B89" s="8"/>
      <c r="C89" s="8"/>
      <c r="D89" s="8"/>
      <c r="E89" s="8"/>
      <c r="F89" s="8"/>
      <c r="G89" s="8"/>
      <c r="H89" s="8"/>
      <c r="I89" s="8"/>
      <c r="J89" s="8"/>
      <c r="K89" s="24"/>
    </row>
    <row r="90" spans="1:11" ht="15.75">
      <c r="A90" s="8"/>
      <c r="B90" s="8"/>
      <c r="C90" s="8"/>
      <c r="D90" s="8"/>
      <c r="E90" s="8"/>
      <c r="F90" s="8"/>
      <c r="G90" s="8"/>
      <c r="H90" s="8"/>
      <c r="I90" s="8"/>
      <c r="J90" s="8"/>
      <c r="K90" s="24"/>
    </row>
    <row r="91" spans="1:11" ht="15.75">
      <c r="A91" s="8"/>
      <c r="B91" s="8"/>
      <c r="C91" s="8"/>
      <c r="D91" s="8"/>
      <c r="E91" s="8"/>
      <c r="F91" s="8"/>
      <c r="G91" s="8"/>
      <c r="H91" s="8"/>
      <c r="I91" s="8"/>
      <c r="J91" s="8"/>
      <c r="K91" s="24"/>
    </row>
    <row r="92" spans="1:11" ht="15.75">
      <c r="A92" s="8"/>
      <c r="B92" s="8"/>
      <c r="C92" s="8"/>
      <c r="D92" s="8"/>
      <c r="E92" s="8"/>
      <c r="F92" s="8"/>
      <c r="G92" s="8"/>
      <c r="H92" s="8"/>
      <c r="I92" s="8"/>
      <c r="J92" s="8"/>
      <c r="K92" s="24"/>
    </row>
    <row r="93" spans="1:11" ht="15.75">
      <c r="A93" s="8"/>
      <c r="B93" s="8"/>
      <c r="C93" s="8"/>
      <c r="D93" s="8"/>
      <c r="E93" s="8"/>
      <c r="F93" s="8"/>
      <c r="G93" s="8"/>
      <c r="H93" s="8"/>
      <c r="I93" s="8"/>
      <c r="J93" s="8"/>
      <c r="K93" s="24"/>
    </row>
    <row r="94" spans="1:11" ht="15.75">
      <c r="A94" s="8"/>
      <c r="B94" s="8"/>
      <c r="C94" s="8"/>
      <c r="D94" s="8"/>
      <c r="E94" s="8"/>
      <c r="F94" s="8"/>
      <c r="G94" s="8"/>
      <c r="H94" s="8"/>
      <c r="I94" s="8"/>
      <c r="J94" s="8"/>
      <c r="K94" s="24"/>
    </row>
    <row r="95" spans="1:11" ht="15.75">
      <c r="A95" s="8"/>
      <c r="B95" s="8"/>
      <c r="C95" s="8"/>
      <c r="D95" s="8"/>
      <c r="E95" s="8"/>
      <c r="F95" s="8"/>
      <c r="G95" s="8"/>
      <c r="H95" s="8"/>
      <c r="I95" s="8"/>
      <c r="J95" s="8"/>
      <c r="K95" s="24"/>
    </row>
    <row r="96" spans="1:11" ht="15.75">
      <c r="A96" s="8"/>
      <c r="B96" s="8"/>
      <c r="C96" s="8"/>
      <c r="D96" s="8"/>
      <c r="E96" s="8"/>
      <c r="F96" s="8"/>
      <c r="G96" s="8"/>
      <c r="H96" s="8"/>
      <c r="I96" s="8"/>
      <c r="J96" s="8"/>
      <c r="K96" s="24"/>
    </row>
    <row r="97" spans="1:11" ht="15.75">
      <c r="A97" s="8"/>
      <c r="B97" s="8"/>
      <c r="C97" s="8"/>
      <c r="D97" s="8"/>
      <c r="E97" s="8"/>
      <c r="F97" s="8"/>
      <c r="G97" s="8"/>
      <c r="H97" s="8"/>
      <c r="I97" s="8"/>
      <c r="J97" s="8"/>
      <c r="K97" s="24"/>
    </row>
    <row r="98" spans="1:11" ht="15.75">
      <c r="A98" s="8"/>
      <c r="B98" s="8"/>
      <c r="C98" s="8"/>
      <c r="D98" s="8"/>
      <c r="E98" s="8"/>
      <c r="F98" s="8"/>
      <c r="G98" s="8"/>
      <c r="H98" s="8"/>
      <c r="I98" s="8"/>
      <c r="J98" s="8"/>
      <c r="K98" s="24"/>
    </row>
    <row r="99" spans="1:11" ht="15.75">
      <c r="A99" s="8"/>
      <c r="B99" s="8"/>
      <c r="C99" s="8"/>
      <c r="D99" s="8"/>
      <c r="E99" s="8"/>
      <c r="F99" s="8"/>
      <c r="G99" s="8"/>
      <c r="H99" s="8"/>
      <c r="I99" s="8"/>
      <c r="J99" s="8"/>
      <c r="K99" s="24"/>
    </row>
    <row r="100" spans="1:11" ht="15.7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24"/>
    </row>
    <row r="101" spans="1:11" ht="15.7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24"/>
    </row>
    <row r="102" spans="1:11" ht="15.7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24"/>
    </row>
    <row r="103" spans="1:11" ht="15.7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24"/>
    </row>
    <row r="104" spans="1:11" ht="15.7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24"/>
    </row>
    <row r="105" spans="1:11" ht="15.7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24"/>
    </row>
    <row r="106" spans="1:11" ht="15.7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24"/>
    </row>
    <row r="107" spans="1:11" ht="15.7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24"/>
    </row>
    <row r="108" spans="1:11" ht="15.7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24"/>
    </row>
    <row r="109" spans="1:11" ht="15.7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24"/>
    </row>
    <row r="110" spans="1:11" ht="15.7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24"/>
    </row>
    <row r="111" spans="1:11" ht="15.7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24"/>
    </row>
    <row r="112" spans="1:11" ht="15.7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24"/>
    </row>
    <row r="113" spans="1:11" ht="15.7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24"/>
    </row>
    <row r="114" spans="1:11" ht="15.7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24"/>
    </row>
    <row r="115" spans="1:11" ht="15.7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24"/>
    </row>
    <row r="116" spans="1:11" ht="15.7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24"/>
    </row>
    <row r="117" spans="1:11" ht="15.7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24"/>
    </row>
    <row r="118" spans="1:11" ht="15.7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24"/>
    </row>
    <row r="119" spans="1:11" ht="15.7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24"/>
    </row>
    <row r="120" spans="1:11" ht="15.7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24"/>
    </row>
    <row r="121" spans="1:11" ht="15.7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24"/>
    </row>
    <row r="122" spans="1:11" ht="15.7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24"/>
    </row>
    <row r="123" spans="1:11" ht="15.7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24"/>
    </row>
    <row r="124" spans="1:11" ht="15.7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24"/>
    </row>
    <row r="125" spans="1:11" ht="15.7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24"/>
    </row>
    <row r="126" spans="1:11" ht="15.7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24"/>
    </row>
    <row r="127" spans="1:11" ht="15.7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24"/>
    </row>
    <row r="128" spans="1:11" ht="15.7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24"/>
    </row>
    <row r="129" spans="1:11" ht="15.7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24"/>
    </row>
    <row r="130" spans="1:11" ht="15.7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24"/>
    </row>
    <row r="131" spans="1:11" ht="15.7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24"/>
    </row>
    <row r="132" spans="1:11" ht="15.7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24"/>
    </row>
    <row r="133" spans="1:11" ht="15.7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24"/>
    </row>
    <row r="134" spans="1:11" ht="15.7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24"/>
    </row>
    <row r="135" spans="1:11" ht="15.7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24"/>
    </row>
    <row r="136" spans="1:11" ht="15.7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24"/>
    </row>
    <row r="137" spans="1:11" ht="15.7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24"/>
    </row>
    <row r="138" spans="1:11" ht="15.7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24"/>
    </row>
    <row r="139" spans="1:11" ht="15.7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24"/>
    </row>
    <row r="140" spans="1:11" ht="15.7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24"/>
    </row>
    <row r="141" spans="1:11" ht="15.7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24"/>
    </row>
    <row r="142" spans="1:11" ht="15.7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24"/>
    </row>
    <row r="143" spans="1:11" ht="15.7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24"/>
    </row>
    <row r="144" spans="1:11" ht="15.7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24"/>
    </row>
    <row r="145" spans="1:11" ht="15.7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24"/>
    </row>
    <row r="146" spans="1:11" ht="15.7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24"/>
    </row>
    <row r="147" spans="1:11" ht="15.7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24"/>
    </row>
    <row r="148" spans="1:11" ht="15.7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24"/>
    </row>
    <row r="149" spans="1:11" ht="15.7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24"/>
    </row>
    <row r="150" spans="1:11" ht="15.7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24"/>
    </row>
    <row r="151" spans="1:11" ht="15.7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24"/>
    </row>
    <row r="152" spans="1:11" ht="15.7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24"/>
    </row>
    <row r="153" spans="1:11" ht="15.7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24"/>
    </row>
    <row r="154" spans="1:11" ht="15.7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24"/>
    </row>
    <row r="155" spans="1:11" ht="15.7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24"/>
    </row>
    <row r="156" spans="1:11" ht="15.7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24"/>
    </row>
    <row r="157" spans="1:11" ht="15.7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24"/>
    </row>
    <row r="158" spans="1:11" ht="15.7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24"/>
    </row>
    <row r="159" spans="1:11" ht="15.7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24"/>
    </row>
    <row r="160" spans="1:11" ht="15.7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24"/>
    </row>
    <row r="161" spans="1:11" ht="15.7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24"/>
    </row>
    <row r="162" spans="1:11" ht="15.7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24"/>
    </row>
    <row r="163" spans="1:11" ht="15.7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24"/>
    </row>
    <row r="164" spans="1:11" ht="15.7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24"/>
    </row>
    <row r="165" spans="1:11" ht="15.7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24"/>
    </row>
    <row r="166" spans="1:11" ht="15.7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24"/>
    </row>
    <row r="167" spans="1:11" ht="15.7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24"/>
    </row>
    <row r="168" spans="1:11" ht="15.7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24"/>
    </row>
    <row r="169" spans="1:11" ht="15.7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24"/>
    </row>
    <row r="170" spans="1:11" ht="15.7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24"/>
    </row>
    <row r="171" spans="1:11" ht="15.7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24"/>
    </row>
    <row r="172" spans="1:11" ht="15.7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24"/>
    </row>
    <row r="173" spans="1:11" ht="15.7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24"/>
    </row>
    <row r="174" spans="1:11" ht="15.7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24"/>
    </row>
    <row r="175" spans="1:11" ht="15.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24"/>
    </row>
    <row r="176" spans="1:11" ht="15.7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24"/>
    </row>
    <row r="177" spans="1:11" ht="15.7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24"/>
    </row>
    <row r="178" spans="1:11" ht="15.7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24"/>
    </row>
    <row r="179" spans="1:11" ht="15.7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24"/>
    </row>
    <row r="180" spans="1:11" ht="15.7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24"/>
    </row>
    <row r="181" spans="1:11" ht="15.7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24"/>
    </row>
    <row r="182" spans="1:11" ht="15.7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24"/>
    </row>
    <row r="183" spans="1:11" ht="15.7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24"/>
    </row>
    <row r="184" spans="1:11" ht="15.7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24"/>
    </row>
    <row r="185" spans="1:11" ht="15.7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24"/>
    </row>
    <row r="186" spans="1:11" ht="15.7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24"/>
    </row>
    <row r="187" spans="1:11" ht="15.7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24"/>
    </row>
    <row r="188" spans="1:11" ht="15.7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24"/>
    </row>
    <row r="189" spans="1:11" ht="15.7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24"/>
    </row>
    <row r="190" spans="1:11" ht="15.7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24"/>
    </row>
    <row r="191" spans="1:11" ht="15.7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24"/>
    </row>
    <row r="192" spans="1:11" ht="15.7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24"/>
    </row>
    <row r="193" spans="1:11" ht="15.7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24"/>
    </row>
    <row r="194" spans="1:11" ht="15.7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24"/>
    </row>
    <row r="195" spans="1:11" ht="15.7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24"/>
    </row>
    <row r="196" spans="1:11" ht="15.7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24"/>
    </row>
    <row r="197" spans="1:11" ht="15.7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24"/>
    </row>
    <row r="198" spans="1:11" ht="15.7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24"/>
    </row>
    <row r="199" spans="1:11" ht="15.7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24"/>
    </row>
    <row r="200" spans="1:11" ht="15.7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24"/>
    </row>
    <row r="201" spans="1:11" ht="15.7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24"/>
    </row>
  </sheetData>
  <mergeCells count="3">
    <mergeCell ref="A3:G3"/>
    <mergeCell ref="A6:H6"/>
    <mergeCell ref="A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1120</vt:lpstr>
      <vt:lpstr>общий</vt:lpstr>
      <vt:lpstr>全部库存表</vt:lpstr>
      <vt:lpstr>конкретно</vt:lpstr>
      <vt:lpstr>JR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Завьялова</dc:creator>
  <cp:lastModifiedBy>User</cp:lastModifiedBy>
  <cp:lastPrinted>2024-01-24T06:44:36Z</cp:lastPrinted>
  <dcterms:created xsi:type="dcterms:W3CDTF">2023-11-27T14:19:51Z</dcterms:created>
  <dcterms:modified xsi:type="dcterms:W3CDTF">2024-08-13T06:15:03Z</dcterms:modified>
</cp:coreProperties>
</file>